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\Régi\Testületi anyagok\Előterjesztés\2026\Február\1 napirend költségvetés\"/>
    </mc:Choice>
  </mc:AlternateContent>
  <xr:revisionPtr revIDLastSave="0" documentId="13_ncr:1_{17FCA657-7CE2-4B73-A441-0A22D0EB9E1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1. melléklet" sheetId="1" r:id="rId1"/>
    <sheet name="2. melléklet" sheetId="2" r:id="rId2"/>
  </sheets>
  <definedNames>
    <definedName name="_xlnm.Print_Area" localSheetId="0">'1. melléklet'!$A$1:$B$215</definedName>
    <definedName name="_xlnm.Print_Area" localSheetId="1">'2. melléklet'!$B$1:$D$587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0" i="2" l="1"/>
  <c r="F405" i="2"/>
  <c r="F350" i="2"/>
  <c r="F346" i="2"/>
  <c r="F328" i="2"/>
  <c r="F308" i="2"/>
  <c r="F290" i="2"/>
  <c r="F280" i="2"/>
  <c r="F270" i="2"/>
  <c r="F246" i="2"/>
  <c r="F227" i="2"/>
  <c r="F226" i="2"/>
  <c r="F222" i="2"/>
  <c r="F206" i="2"/>
  <c r="F207" i="2" s="1"/>
  <c r="F192" i="2"/>
  <c r="F189" i="2"/>
  <c r="F184" i="2"/>
  <c r="F164" i="2"/>
  <c r="F193" i="2" s="1"/>
  <c r="F154" i="2"/>
  <c r="F136" i="2"/>
  <c r="F102" i="2"/>
  <c r="F93" i="2"/>
  <c r="F94" i="2" s="1"/>
  <c r="F79" i="2"/>
  <c r="F80" i="2" s="1"/>
  <c r="F60" i="2"/>
  <c r="F17" i="2"/>
  <c r="F18" i="2" s="1"/>
  <c r="E68" i="1"/>
  <c r="E131" i="1"/>
  <c r="E49" i="1"/>
  <c r="F566" i="2"/>
  <c r="F567" i="2" s="1"/>
  <c r="F441" i="2"/>
  <c r="E36" i="1"/>
  <c r="F580" i="2"/>
  <c r="F82" i="2"/>
  <c r="D83" i="1"/>
  <c r="D131" i="1"/>
  <c r="E270" i="2"/>
  <c r="E206" i="2"/>
  <c r="D206" i="2"/>
  <c r="F31" i="2"/>
  <c r="E405" i="2"/>
  <c r="D581" i="2"/>
  <c r="D584" i="2" s="1"/>
  <c r="D579" i="2"/>
  <c r="D575" i="2"/>
  <c r="D566" i="2"/>
  <c r="D545" i="2"/>
  <c r="D546" i="2" s="1"/>
  <c r="D542" i="2"/>
  <c r="D525" i="2"/>
  <c r="D514" i="2"/>
  <c r="D510" i="2"/>
  <c r="D497" i="2"/>
  <c r="D486" i="2"/>
  <c r="D476" i="2"/>
  <c r="D472" i="2"/>
  <c r="D462" i="2"/>
  <c r="D457" i="2"/>
  <c r="D458" i="2" s="1"/>
  <c r="D439" i="2"/>
  <c r="D441" i="2" s="1"/>
  <c r="D60" i="2"/>
  <c r="D420" i="2"/>
  <c r="D411" i="2"/>
  <c r="D412" i="2" s="1"/>
  <c r="D393" i="2"/>
  <c r="D383" i="2"/>
  <c r="D381" i="2"/>
  <c r="D374" i="2"/>
  <c r="D371" i="2"/>
  <c r="D353" i="2"/>
  <c r="D348" i="2"/>
  <c r="D350" i="2" s="1"/>
  <c r="D346" i="2"/>
  <c r="D328" i="2"/>
  <c r="D317" i="2"/>
  <c r="D311" i="2"/>
  <c r="D308" i="2"/>
  <c r="D301" i="2"/>
  <c r="D296" i="2"/>
  <c r="D290" i="2"/>
  <c r="D286" i="2"/>
  <c r="D280" i="2"/>
  <c r="D270" i="2"/>
  <c r="D260" i="2"/>
  <c r="D257" i="2"/>
  <c r="D249" i="2"/>
  <c r="D246" i="2"/>
  <c r="D233" i="2"/>
  <c r="D225" i="2"/>
  <c r="D226" i="2" s="1"/>
  <c r="D222" i="2"/>
  <c r="D190" i="2"/>
  <c r="D191" i="2" s="1"/>
  <c r="D192" i="2" s="1"/>
  <c r="D189" i="2"/>
  <c r="D182" i="2"/>
  <c r="D175" i="2"/>
  <c r="D174" i="2"/>
  <c r="D164" i="2"/>
  <c r="D154" i="2"/>
  <c r="D117" i="2"/>
  <c r="D120" i="2" s="1"/>
  <c r="D113" i="2"/>
  <c r="D105" i="2"/>
  <c r="E120" i="2"/>
  <c r="D101" i="2"/>
  <c r="D102" i="2" s="1"/>
  <c r="D93" i="2"/>
  <c r="D42" i="2"/>
  <c r="D21" i="2"/>
  <c r="D23" i="2" s="1"/>
  <c r="D17" i="2"/>
  <c r="D405" i="2"/>
  <c r="D362" i="2"/>
  <c r="D146" i="2"/>
  <c r="D144" i="2"/>
  <c r="D142" i="2"/>
  <c r="D136" i="2"/>
  <c r="D82" i="2"/>
  <c r="D79" i="2"/>
  <c r="D37" i="2"/>
  <c r="D31" i="2"/>
  <c r="C211" i="1"/>
  <c r="C205" i="1"/>
  <c r="C189" i="1"/>
  <c r="C181" i="1"/>
  <c r="C167" i="1"/>
  <c r="C161" i="1"/>
  <c r="C157" i="1"/>
  <c r="C135" i="1"/>
  <c r="C139" i="1" s="1"/>
  <c r="C131" i="1"/>
  <c r="C118" i="1"/>
  <c r="C113" i="1"/>
  <c r="C107" i="1"/>
  <c r="C101" i="1"/>
  <c r="C94" i="1"/>
  <c r="C88" i="1"/>
  <c r="C83" i="1"/>
  <c r="C68" i="1"/>
  <c r="C49" i="1"/>
  <c r="C41" i="1"/>
  <c r="C26" i="1"/>
  <c r="C36" i="1" s="1"/>
  <c r="C22" i="1"/>
  <c r="C16" i="1"/>
  <c r="E205" i="1"/>
  <c r="E441" i="2"/>
  <c r="E412" i="2"/>
  <c r="E374" i="2"/>
  <c r="E362" i="2"/>
  <c r="E301" i="2"/>
  <c r="E290" i="2"/>
  <c r="E222" i="2"/>
  <c r="E164" i="2"/>
  <c r="E124" i="2"/>
  <c r="E93" i="2"/>
  <c r="E102" i="2"/>
  <c r="E79" i="2"/>
  <c r="E17" i="2"/>
  <c r="D205" i="1"/>
  <c r="F442" i="2" l="1"/>
  <c r="F329" i="2"/>
  <c r="D463" i="2"/>
  <c r="D261" i="2"/>
  <c r="D375" i="2"/>
  <c r="D384" i="2"/>
  <c r="C193" i="1"/>
  <c r="C213" i="1"/>
  <c r="C143" i="1"/>
  <c r="D547" i="2"/>
  <c r="D580" i="2"/>
  <c r="D585" i="2" s="1"/>
  <c r="D587" i="2" s="1"/>
  <c r="D477" i="2"/>
  <c r="D291" i="2"/>
  <c r="C171" i="1"/>
  <c r="D515" i="2"/>
  <c r="D487" i="2"/>
  <c r="D488" i="2" s="1"/>
  <c r="D354" i="2"/>
  <c r="D281" i="2"/>
  <c r="D227" i="2"/>
  <c r="D250" i="2"/>
  <c r="D147" i="2"/>
  <c r="D312" i="2"/>
  <c r="D394" i="2"/>
  <c r="D184" i="2"/>
  <c r="D193" i="2" s="1"/>
  <c r="D421" i="2"/>
  <c r="D106" i="2"/>
  <c r="D24" i="2"/>
  <c r="D80" i="2"/>
  <c r="D83" i="2" s="1"/>
  <c r="F525" i="2"/>
  <c r="F371" i="2"/>
  <c r="F118" i="2"/>
  <c r="F120" i="2" s="1"/>
  <c r="E181" i="1"/>
  <c r="F461" i="2"/>
  <c r="D479" i="2" l="1"/>
  <c r="D549" i="2"/>
  <c r="D424" i="2"/>
  <c r="F410" i="2"/>
  <c r="F412" i="2" s="1"/>
  <c r="F421" i="2" s="1"/>
  <c r="F37" i="2"/>
  <c r="F22" i="2"/>
  <c r="F23" i="2" s="1"/>
  <c r="F24" i="2" s="1"/>
  <c r="F317" i="2"/>
  <c r="F513" i="2"/>
  <c r="F514" i="2" s="1"/>
  <c r="F540" i="2"/>
  <c r="F542" i="2" s="1"/>
  <c r="F509" i="2"/>
  <c r="E31" i="2"/>
  <c r="F545" i="2"/>
  <c r="F474" i="2" l="1"/>
  <c r="F476" i="2" s="1"/>
  <c r="F455" i="2"/>
  <c r="F458" i="2" s="1"/>
  <c r="F583" i="2"/>
  <c r="E106" i="1" l="1"/>
  <c r="E117" i="1"/>
  <c r="E112" i="1"/>
  <c r="D36" i="1"/>
  <c r="D49" i="1"/>
  <c r="E78" i="1"/>
  <c r="E83" i="1" s="1"/>
  <c r="E15" i="1"/>
  <c r="F311" i="2" l="1"/>
  <c r="F381" i="2" l="1"/>
  <c r="F384" i="2" s="1"/>
  <c r="E381" i="2"/>
  <c r="E384" i="2" s="1"/>
  <c r="E346" i="2"/>
  <c r="E458" i="2"/>
  <c r="D181" i="1"/>
  <c r="E211" i="1"/>
  <c r="E213" i="1" s="1"/>
  <c r="E189" i="1"/>
  <c r="E193" i="1" s="1"/>
  <c r="E167" i="1"/>
  <c r="E161" i="1"/>
  <c r="E157" i="1"/>
  <c r="E139" i="1"/>
  <c r="E118" i="1"/>
  <c r="E113" i="1"/>
  <c r="E107" i="1"/>
  <c r="E101" i="1"/>
  <c r="E94" i="1"/>
  <c r="E88" i="1"/>
  <c r="E41" i="1"/>
  <c r="E22" i="1"/>
  <c r="E16" i="1"/>
  <c r="D211" i="1"/>
  <c r="D189" i="1"/>
  <c r="D167" i="1"/>
  <c r="D161" i="1"/>
  <c r="D157" i="1"/>
  <c r="D139" i="1"/>
  <c r="D118" i="1"/>
  <c r="D113" i="1"/>
  <c r="D107" i="1"/>
  <c r="D101" i="1"/>
  <c r="D94" i="1"/>
  <c r="D88" i="1"/>
  <c r="D41" i="1"/>
  <c r="D22" i="1"/>
  <c r="D16" i="1"/>
  <c r="F146" i="2"/>
  <c r="E146" i="2"/>
  <c r="F584" i="2"/>
  <c r="F585" i="2" s="1"/>
  <c r="F587" i="2" s="1"/>
  <c r="F546" i="2"/>
  <c r="F510" i="2"/>
  <c r="F497" i="2"/>
  <c r="F488" i="2"/>
  <c r="F470" i="2"/>
  <c r="F462" i="2"/>
  <c r="F463" i="2" s="1"/>
  <c r="F393" i="2"/>
  <c r="F394" i="2" s="1"/>
  <c r="F374" i="2"/>
  <c r="F362" i="2"/>
  <c r="F353" i="2"/>
  <c r="F354" i="2" s="1"/>
  <c r="F301" i="2"/>
  <c r="F296" i="2"/>
  <c r="F286" i="2"/>
  <c r="F271" i="2"/>
  <c r="F281" i="2" s="1"/>
  <c r="F260" i="2"/>
  <c r="F257" i="2"/>
  <c r="F261" i="2" s="1"/>
  <c r="F249" i="2"/>
  <c r="F233" i="2"/>
  <c r="F144" i="2"/>
  <c r="F142" i="2"/>
  <c r="F113" i="2"/>
  <c r="F105" i="2"/>
  <c r="F106" i="2" s="1"/>
  <c r="F42" i="2"/>
  <c r="F83" i="2" s="1"/>
  <c r="E37" i="2"/>
  <c r="E23" i="2"/>
  <c r="E584" i="2"/>
  <c r="E580" i="2"/>
  <c r="E566" i="2"/>
  <c r="E546" i="2"/>
  <c r="E542" i="2"/>
  <c r="E525" i="2"/>
  <c r="E514" i="2"/>
  <c r="E510" i="2"/>
  <c r="E497" i="2"/>
  <c r="E476" i="2"/>
  <c r="E472" i="2"/>
  <c r="E470" i="2"/>
  <c r="E462" i="2"/>
  <c r="E420" i="2"/>
  <c r="E393" i="2"/>
  <c r="E394" i="2" s="1"/>
  <c r="E371" i="2"/>
  <c r="E375" i="2" s="1"/>
  <c r="E353" i="2"/>
  <c r="E350" i="2"/>
  <c r="E328" i="2"/>
  <c r="E317" i="2"/>
  <c r="E311" i="2"/>
  <c r="E308" i="2"/>
  <c r="E296" i="2"/>
  <c r="E286" i="2"/>
  <c r="E280" i="2"/>
  <c r="E260" i="2"/>
  <c r="E257" i="2"/>
  <c r="E249" i="2"/>
  <c r="E246" i="2"/>
  <c r="E233" i="2"/>
  <c r="E226" i="2"/>
  <c r="E227" i="2" s="1"/>
  <c r="E192" i="2"/>
  <c r="E189" i="2"/>
  <c r="E184" i="2"/>
  <c r="E154" i="2"/>
  <c r="E144" i="2"/>
  <c r="E142" i="2"/>
  <c r="E136" i="2"/>
  <c r="E113" i="2"/>
  <c r="E105" i="2"/>
  <c r="E82" i="2"/>
  <c r="E42" i="2"/>
  <c r="E60" i="2" s="1"/>
  <c r="E80" i="2" s="1"/>
  <c r="F287" i="2" l="1"/>
  <c r="F291" i="2"/>
  <c r="F312" i="2"/>
  <c r="E143" i="1"/>
  <c r="F147" i="2"/>
  <c r="F234" i="2"/>
  <c r="F250" i="2" s="1"/>
  <c r="E147" i="2"/>
  <c r="F498" i="2"/>
  <c r="F515" i="2" s="1"/>
  <c r="F363" i="2"/>
  <c r="F375" i="2" s="1"/>
  <c r="F302" i="2"/>
  <c r="F471" i="2"/>
  <c r="F472" i="2" s="1"/>
  <c r="F477" i="2" s="1"/>
  <c r="F479" i="2" s="1"/>
  <c r="D193" i="1"/>
  <c r="E83" i="2"/>
  <c r="D143" i="1"/>
  <c r="E312" i="2"/>
  <c r="E261" i="2"/>
  <c r="E106" i="2"/>
  <c r="E24" i="2"/>
  <c r="E171" i="1"/>
  <c r="D213" i="1"/>
  <c r="D171" i="1"/>
  <c r="F526" i="2"/>
  <c r="F547" i="2" s="1"/>
  <c r="E547" i="2"/>
  <c r="E515" i="2"/>
  <c r="E477" i="2"/>
  <c r="E421" i="2"/>
  <c r="E354" i="2"/>
  <c r="E291" i="2"/>
  <c r="E281" i="2"/>
  <c r="E250" i="2"/>
  <c r="E463" i="2"/>
  <c r="E585" i="2"/>
  <c r="E587" i="2" s="1"/>
  <c r="E193" i="2"/>
  <c r="E488" i="2"/>
  <c r="F424" i="2" l="1"/>
  <c r="F549" i="2"/>
  <c r="E479" i="2"/>
  <c r="E549" i="2"/>
  <c r="E424" i="2"/>
</calcChain>
</file>

<file path=xl/sharedStrings.xml><?xml version="1.0" encoding="utf-8"?>
<sst xmlns="http://schemas.openxmlformats.org/spreadsheetml/2006/main" count="1146" uniqueCount="553">
  <si>
    <t>Újhartyán Város Önkormányzata</t>
  </si>
  <si>
    <t xml:space="preserve">1. melléklet </t>
  </si>
  <si>
    <t>2367 Újhartyán, Hősök tere 5-7.</t>
  </si>
  <si>
    <t>Rovat</t>
  </si>
  <si>
    <t xml:space="preserve">Jogcím </t>
  </si>
  <si>
    <t>ÚJHARTYÁN VÁROS ÖNKORMÁNYZATA - BEVÉTELEK</t>
  </si>
  <si>
    <t>011130 Önkormányzati jogalkotás</t>
  </si>
  <si>
    <t>B402</t>
  </si>
  <si>
    <t>B406</t>
  </si>
  <si>
    <t>Kiszámlázott áfa</t>
  </si>
  <si>
    <t>Bevétel összesen:</t>
  </si>
  <si>
    <t>013350 Önkormányzati vagyonnal való gazdálkodás</t>
  </si>
  <si>
    <t>B411</t>
  </si>
  <si>
    <t>Egyéb működési bevételek</t>
  </si>
  <si>
    <t>B53</t>
  </si>
  <si>
    <t>018010 - Önkormányzatok elszámolásai a központi költségvetéssel</t>
  </si>
  <si>
    <t>B111</t>
  </si>
  <si>
    <t>B1131</t>
  </si>
  <si>
    <t>B114</t>
  </si>
  <si>
    <t>Települési önkormányzatok kulturális feladatainak tám.</t>
  </si>
  <si>
    <t>B115</t>
  </si>
  <si>
    <t>Szociálios célú tüzifa támogatás</t>
  </si>
  <si>
    <t>B116</t>
  </si>
  <si>
    <t>B161</t>
  </si>
  <si>
    <t>B814</t>
  </si>
  <si>
    <t>Megelőlegezés</t>
  </si>
  <si>
    <t>018030 - Támogatási célú finanszírozási műveletek</t>
  </si>
  <si>
    <t>B65</t>
  </si>
  <si>
    <t>B8131</t>
  </si>
  <si>
    <t>Előző évi költségv. mar. igénybev.</t>
  </si>
  <si>
    <t>B25</t>
  </si>
  <si>
    <t>Szolgálati lakás - Deák F. u. 2. (MFP)</t>
  </si>
  <si>
    <t>Arany János utca útfelújítás (Külterületi helyi közút pályázat)</t>
  </si>
  <si>
    <t>066020 - Város- és községgazdálkodási egyéb szolgáltatások</t>
  </si>
  <si>
    <t>DAKÖV éves bérleti díj bevétel</t>
  </si>
  <si>
    <t>Iskola, ovóda gazdasági feladatok ellátása</t>
  </si>
  <si>
    <t>B403</t>
  </si>
  <si>
    <t>B404</t>
  </si>
  <si>
    <t>B52</t>
  </si>
  <si>
    <t>Ingatlan értékesítés</t>
  </si>
  <si>
    <t>072111 Háziorvosi alapellátás</t>
  </si>
  <si>
    <t>074031 - Család és nővédelmi egészségügyi gondozás (védőnő)</t>
  </si>
  <si>
    <t>B16</t>
  </si>
  <si>
    <t>DPCK finanszírozás</t>
  </si>
  <si>
    <t xml:space="preserve">096015 Konyha </t>
  </si>
  <si>
    <t>B405</t>
  </si>
  <si>
    <t>096025 Munkahelyi étkeztetés</t>
  </si>
  <si>
    <t>Ellátási díjak</t>
  </si>
  <si>
    <t>102050 Idősügyi önkormányzati kezdeményezések, programok (Idősek Otthona)</t>
  </si>
  <si>
    <t xml:space="preserve">Kiszámlázott áfa </t>
  </si>
  <si>
    <t>104035- Gyermekétkeztetés bölcsődében</t>
  </si>
  <si>
    <t>Ellátási díj</t>
  </si>
  <si>
    <t>Ellátási díj áfa</t>
  </si>
  <si>
    <t>B341</t>
  </si>
  <si>
    <t>B351</t>
  </si>
  <si>
    <t>Iparűzési adó</t>
  </si>
  <si>
    <t>B355</t>
  </si>
  <si>
    <t>Idegenforgalmi adó</t>
  </si>
  <si>
    <t>B361</t>
  </si>
  <si>
    <t>B4082</t>
  </si>
  <si>
    <t>Egyéb kapott kamat és kamatjellegű bevételek</t>
  </si>
  <si>
    <t>900060 - Forgatási és befektetési célú fin. műv.</t>
  </si>
  <si>
    <t>B408</t>
  </si>
  <si>
    <t>Egyéb kapott kamat</t>
  </si>
  <si>
    <t>B8112</t>
  </si>
  <si>
    <t>B817</t>
  </si>
  <si>
    <t>Lekötött bankbetét megszüntetése</t>
  </si>
  <si>
    <t>POLGÁRMESTERI HIVATAL - BEVÉTELEK</t>
  </si>
  <si>
    <t>011130 Önkormányzatok igazgatási tevékenysége</t>
  </si>
  <si>
    <t>Egyéb kapott kamatok és kamatjellegű bevételek</t>
  </si>
  <si>
    <t>016010 - Országgyűlési, Önkormányzati és európai parlamanti választás</t>
  </si>
  <si>
    <t xml:space="preserve">Előző évi költségv. maradvány igénybev. </t>
  </si>
  <si>
    <t>B816</t>
  </si>
  <si>
    <t xml:space="preserve">Központi irányító szerv támogatás </t>
  </si>
  <si>
    <t>POLGÁRMESTERI HIVATAL BEVÉTEL ÖSSZESEN:</t>
  </si>
  <si>
    <t xml:space="preserve">  ÚJHARTYÁNI EGYESÍTETT MŰVELŐDÉSI HÁZ ÉS KÖNYVTÁR- BEVÉTELEK</t>
  </si>
  <si>
    <t>018030 Támogatási célú finanszírozási műveletek</t>
  </si>
  <si>
    <t>Előző évi költségvetési maradvány igénybevételel</t>
  </si>
  <si>
    <t xml:space="preserve">082092 Közművelődés-hagyományos közösségi kulturális értékek gondozása </t>
  </si>
  <si>
    <t>Kamatok</t>
  </si>
  <si>
    <t>EGYESÍTETT MŰVELŐDÉSI HÁZ ÉS KÖNYVTÁR BEVÉTELEK ÖSSZSESEN:</t>
  </si>
  <si>
    <t>EPERKE BÖLCSŐDE - BEVÉTELEK</t>
  </si>
  <si>
    <t>B813</t>
  </si>
  <si>
    <t>104031     Gyermekek bölcsődében és mini bölcsődében történő ellátása</t>
  </si>
  <si>
    <t>EPERKE BÖLCSŐDE BEVÉTELEK ÖSSZESEN:</t>
  </si>
  <si>
    <t>2. melléklet</t>
  </si>
  <si>
    <t>ÚJHARTYÁN VÁROS ÖNKORMÁNYZATA - KIADÁSOK</t>
  </si>
  <si>
    <t>K121</t>
  </si>
  <si>
    <t>K1113</t>
  </si>
  <si>
    <t>K123</t>
  </si>
  <si>
    <t xml:space="preserve">K1 </t>
  </si>
  <si>
    <t>Alapilletmények</t>
  </si>
  <si>
    <t xml:space="preserve">K2 </t>
  </si>
  <si>
    <t>Járulékok összesen</t>
  </si>
  <si>
    <t>K336</t>
  </si>
  <si>
    <t>K337</t>
  </si>
  <si>
    <t>K351</t>
  </si>
  <si>
    <t>Működési célú áfa</t>
  </si>
  <si>
    <t>K3</t>
  </si>
  <si>
    <t>Dologi kiadás összesen</t>
  </si>
  <si>
    <t>Szakfeladat összesen:</t>
  </si>
  <si>
    <t>018010 - Központi költségvetési befizetések</t>
  </si>
  <si>
    <t>K355</t>
  </si>
  <si>
    <t>Egyéb dologi kiadás</t>
  </si>
  <si>
    <t>K5022</t>
  </si>
  <si>
    <t>Iparűzési adótöbblet miatti befizetési kötelezettség</t>
  </si>
  <si>
    <t>K914</t>
  </si>
  <si>
    <t>Áh belüli megelőlegezések visszafizetése</t>
  </si>
  <si>
    <t>018020 - Központi költségvetési befizetések</t>
  </si>
  <si>
    <t>Dologi kiadás összesen:</t>
  </si>
  <si>
    <t>K506</t>
  </si>
  <si>
    <t>Ország Közepe Többcélú Kistérségi Társulás</t>
  </si>
  <si>
    <t xml:space="preserve">Újszülöttek </t>
  </si>
  <si>
    <t>Kitüntető címek</t>
  </si>
  <si>
    <t>Reménysugár fogyatékosok támogatása</t>
  </si>
  <si>
    <t>Mentőállomás támogatása</t>
  </si>
  <si>
    <t>Mentőorvosi kocsi támogatása</t>
  </si>
  <si>
    <t>Dabasi Tűzoltóság támogatása</t>
  </si>
  <si>
    <t>Dabas Rádió támogatása</t>
  </si>
  <si>
    <t>Monori Katasztrófavédelem</t>
  </si>
  <si>
    <t>Újhartyáni Tűzoltó Egyesület</t>
  </si>
  <si>
    <t>Dr. Halász Géza Szakorvosi Rendelőintézet</t>
  </si>
  <si>
    <t>K512</t>
  </si>
  <si>
    <t>Viharkár, tűzkár</t>
  </si>
  <si>
    <t>Nyugdíjas Rendőrök támogatása</t>
  </si>
  <si>
    <t>Dabas és Környéke Üdülõtábor Alapítvány</t>
  </si>
  <si>
    <t>Lila Akác Nyugdíjas Klub Egyesülete</t>
  </si>
  <si>
    <t>K5</t>
  </si>
  <si>
    <t>Támogatás összesen:</t>
  </si>
  <si>
    <t>K915</t>
  </si>
  <si>
    <t xml:space="preserve">K9 </t>
  </si>
  <si>
    <t>Finanszírozás összesen:</t>
  </si>
  <si>
    <t>031030 Közterület rendjének fenntartása (Járőrszolgálat)</t>
  </si>
  <si>
    <t>K1101</t>
  </si>
  <si>
    <t>Személyi juttatás (5 fő)</t>
  </si>
  <si>
    <t>K1103</t>
  </si>
  <si>
    <t xml:space="preserve">Céljuttatás, projekprémium </t>
  </si>
  <si>
    <t>K122</t>
  </si>
  <si>
    <t>Egyéb külső személyi juttatás</t>
  </si>
  <si>
    <t>K1</t>
  </si>
  <si>
    <t>Illetmény összesen:</t>
  </si>
  <si>
    <t>K2</t>
  </si>
  <si>
    <t>Járulék</t>
  </si>
  <si>
    <t>K312</t>
  </si>
  <si>
    <t>K322</t>
  </si>
  <si>
    <t>Egyéb kommunikációs szolgáltatások</t>
  </si>
  <si>
    <t>K333</t>
  </si>
  <si>
    <t>K334</t>
  </si>
  <si>
    <t>Karbantartás, kisjavítás</t>
  </si>
  <si>
    <t>Dologi összesen</t>
  </si>
  <si>
    <t>K64</t>
  </si>
  <si>
    <t>Egyéb tárgyi eszk.</t>
  </si>
  <si>
    <t>K67</t>
  </si>
  <si>
    <t>Beruh. Áfa</t>
  </si>
  <si>
    <t>K6</t>
  </si>
  <si>
    <t>Beruházás összesen:</t>
  </si>
  <si>
    <t>Szakfeladat összesen</t>
  </si>
  <si>
    <t xml:space="preserve">051030 Települési hulladék begyűjtése </t>
  </si>
  <si>
    <t>Egyéb szolgáltatások</t>
  </si>
  <si>
    <t xml:space="preserve">K351 </t>
  </si>
  <si>
    <t>Működési célú előzetesen felszámított áfa</t>
  </si>
  <si>
    <t>Egyéb dologi kiadások</t>
  </si>
  <si>
    <t>Dologi kiadások összesen:</t>
  </si>
  <si>
    <t>K62</t>
  </si>
  <si>
    <t>Általános iskola bővítése</t>
  </si>
  <si>
    <t>Beruházás áfája</t>
  </si>
  <si>
    <t>K71</t>
  </si>
  <si>
    <t>K74</t>
  </si>
  <si>
    <t xml:space="preserve">Felújítás áfa </t>
  </si>
  <si>
    <t>K7</t>
  </si>
  <si>
    <t>Felújítás összesen:</t>
  </si>
  <si>
    <t>K513</t>
  </si>
  <si>
    <t xml:space="preserve">K5 </t>
  </si>
  <si>
    <t>Tartalék összesen</t>
  </si>
  <si>
    <t>064010 Közvilágítás</t>
  </si>
  <si>
    <t>K3311</t>
  </si>
  <si>
    <t>Közvilágítás áramdíja</t>
  </si>
  <si>
    <t>066020 Városgazdálkodási feladatok</t>
  </si>
  <si>
    <t>Céljuttatás, prémium</t>
  </si>
  <si>
    <t>K1110</t>
  </si>
  <si>
    <t>Egyéb személyi juttatás</t>
  </si>
  <si>
    <t>Illetmények összesen</t>
  </si>
  <si>
    <t>K311</t>
  </si>
  <si>
    <t>K321</t>
  </si>
  <si>
    <t>Közüzemi díjak - áramdíj</t>
  </si>
  <si>
    <t>K3312</t>
  </si>
  <si>
    <t>Közüzemi díjak - gázdíj</t>
  </si>
  <si>
    <t>K3314</t>
  </si>
  <si>
    <t>Közüzemi díjak - vízdíj- és csatornadíj</t>
  </si>
  <si>
    <t>K332</t>
  </si>
  <si>
    <t>K341</t>
  </si>
  <si>
    <t>Kiküldetések kiadásai</t>
  </si>
  <si>
    <t>K342</t>
  </si>
  <si>
    <t>K352</t>
  </si>
  <si>
    <t>Dologi kiadások összesen</t>
  </si>
  <si>
    <t>K63</t>
  </si>
  <si>
    <t>Beruházási célu áfa</t>
  </si>
  <si>
    <t>Befektetett eszköz összesen:</t>
  </si>
  <si>
    <t>Felújítási célú áfa</t>
  </si>
  <si>
    <t>Felújítás összesen</t>
  </si>
  <si>
    <t>Céljuttatás</t>
  </si>
  <si>
    <t>K1104</t>
  </si>
  <si>
    <t>Túlóra</t>
  </si>
  <si>
    <t>K1108</t>
  </si>
  <si>
    <t>Ruházati költségtérítés</t>
  </si>
  <si>
    <t xml:space="preserve">Költségtérítés </t>
  </si>
  <si>
    <t>Szoc. hozzájárulási adó</t>
  </si>
  <si>
    <t>Szakmai anyagok beszerzése</t>
  </si>
  <si>
    <t>Belföldi kiküldetés</t>
  </si>
  <si>
    <t xml:space="preserve">Egyéb dologi kiadás </t>
  </si>
  <si>
    <t>Informatikai eszközök beszerése</t>
  </si>
  <si>
    <t>Tárgyi eszköz beszerzés</t>
  </si>
  <si>
    <t>Beruházási célú áfa</t>
  </si>
  <si>
    <t>074031 Család és nővédelmi eü. gondozás (védőnő)</t>
  </si>
  <si>
    <t>Illetmények összesen:</t>
  </si>
  <si>
    <t>Szoc. hj.adó</t>
  </si>
  <si>
    <t xml:space="preserve">Egyéb szakmai szolgáltatások </t>
  </si>
  <si>
    <t>Üzemeltetési szolgáltatások</t>
  </si>
  <si>
    <t>Eszköz összesen</t>
  </si>
  <si>
    <t>074040 Fertőző megbetegedések, járványügyi ellátás</t>
  </si>
  <si>
    <t>Üzemeltetési anyagok</t>
  </si>
  <si>
    <t>Beruházás összesen</t>
  </si>
  <si>
    <t>081045 Sporttevékenység</t>
  </si>
  <si>
    <t>Illetmények  összesen</t>
  </si>
  <si>
    <t>Egyéb szolgáltatás</t>
  </si>
  <si>
    <t xml:space="preserve">K3 </t>
  </si>
  <si>
    <t>Dologi kiadások</t>
  </si>
  <si>
    <t>082092 Közművelődés-Hagyományos közösségi kulturális értékek gondozása</t>
  </si>
  <si>
    <t xml:space="preserve">Lektori tevékenység </t>
  </si>
  <si>
    <t>Szoc.hj.adó</t>
  </si>
  <si>
    <t>Felszámított áfa</t>
  </si>
  <si>
    <t>Dologi kiadás (ÚJHÍR megjelentetés, naptár)</t>
  </si>
  <si>
    <t>Dologi összesen:</t>
  </si>
  <si>
    <t>084031 Civil szervezetek támogatása</t>
  </si>
  <si>
    <t>091250 Alapfokú művészetoktatással összefüggő feladatok (ZENEISKOLA)</t>
  </si>
  <si>
    <t xml:space="preserve">Járulék </t>
  </si>
  <si>
    <t xml:space="preserve">Szakmai beszerzések </t>
  </si>
  <si>
    <t>094260 Szociális ösztöndíjak</t>
  </si>
  <si>
    <t>Szakfeladatok összesen:</t>
  </si>
  <si>
    <t>Céljutalom</t>
  </si>
  <si>
    <t>Egyéb ktg. térítések</t>
  </si>
  <si>
    <t>Reprezentáció</t>
  </si>
  <si>
    <t xml:space="preserve">Személyi juttatások </t>
  </si>
  <si>
    <t xml:space="preserve">Szoc.hj.adó </t>
  </si>
  <si>
    <t>Vásárolt élelmezés</t>
  </si>
  <si>
    <t>Informatikai eszközök</t>
  </si>
  <si>
    <t>Tárgyi eszköz</t>
  </si>
  <si>
    <t>Beruházási célú előzetesen felszámítot áfa</t>
  </si>
  <si>
    <t>Beruházások</t>
  </si>
  <si>
    <t xml:space="preserve">Felújítás </t>
  </si>
  <si>
    <t>Felújítás áfa</t>
  </si>
  <si>
    <t>Felújítások</t>
  </si>
  <si>
    <t>Illetmény összesen</t>
  </si>
  <si>
    <t xml:space="preserve">Karbantartási költségek </t>
  </si>
  <si>
    <t>104051 Gyermekvédelmi pénzbeli és természetbeni ellátások, támogatások</t>
  </si>
  <si>
    <t>K48</t>
  </si>
  <si>
    <t xml:space="preserve">K4 </t>
  </si>
  <si>
    <t>Ellátás összesen:</t>
  </si>
  <si>
    <t>106020 Lakásfenntartással,lakhatással összefüggő ellátások</t>
  </si>
  <si>
    <t>107060 Egyéb szociális pénzbeli és természetbeni ellátások, támogatások</t>
  </si>
  <si>
    <t>Központi költségvetési szervnek egyéb működési végleges támogatás</t>
  </si>
  <si>
    <t>900060 Finanszírozási kiadások</t>
  </si>
  <si>
    <t>Bankköltség</t>
  </si>
  <si>
    <t>K353</t>
  </si>
  <si>
    <t>Kamatkiadások</t>
  </si>
  <si>
    <t>K9111</t>
  </si>
  <si>
    <t>Felhalmozási célú hitel tárgyévi törlesztőrészlete 150 millió (HFH)</t>
  </si>
  <si>
    <t>Felhalmozási célú hitel törlesztés 58 millió</t>
  </si>
  <si>
    <t>Felhalmozási célú hitel törlesztés 130 millió</t>
  </si>
  <si>
    <t>K9112</t>
  </si>
  <si>
    <t>Likviditási célú hitelek visszafizetése 160 millió</t>
  </si>
  <si>
    <t>K9161</t>
  </si>
  <si>
    <t>Pénzeszközök betétként elhelyezése</t>
  </si>
  <si>
    <t>K917</t>
  </si>
  <si>
    <t>Pénzügyi lízing kiadásai</t>
  </si>
  <si>
    <t>K9</t>
  </si>
  <si>
    <t>Hitelek összesen:</t>
  </si>
  <si>
    <t xml:space="preserve"> UJHARTYÁN VÁROS ÖNKORMÁNYZATA KIADÁSOK ÖSSZESEN:</t>
  </si>
  <si>
    <t>POLGÁRMESTERI HIVATAL - KIADÁSOK</t>
  </si>
  <si>
    <t>K1106</t>
  </si>
  <si>
    <t>K1107</t>
  </si>
  <si>
    <t>Egyéb költségtérítés</t>
  </si>
  <si>
    <t>Járulékok</t>
  </si>
  <si>
    <t>Informatikai szolgáltatások</t>
  </si>
  <si>
    <t xml:space="preserve">Karbantartás, kisjavítás </t>
  </si>
  <si>
    <t xml:space="preserve">Informatikai eszközök beszerzése </t>
  </si>
  <si>
    <t>Beruházási célú előzetesen felszámított áfa</t>
  </si>
  <si>
    <t xml:space="preserve">Választás egyéb személyi juttatás </t>
  </si>
  <si>
    <t xml:space="preserve">Választás személyi jellegű kifizetés </t>
  </si>
  <si>
    <t>Szochó</t>
  </si>
  <si>
    <t>POLGÁRMESTERI HIVATAL  KIADÁS ÖSSZESEN:</t>
  </si>
  <si>
    <t>ÚJHARTYÁNI EGYESÍTETT MŰVELŐDÉSI HÁZ ÉS KÖNYVTÁR - KIADÁSOK</t>
  </si>
  <si>
    <t>082042- Könyvtári állomány gyarapítása, nyilvántartása</t>
  </si>
  <si>
    <t>082091 Közművelődés-közösségi és társadalmi részvétel fejlesztése (könyvtár)</t>
  </si>
  <si>
    <t>Törvény szerinti illetmények, munkabérek (1 fő)</t>
  </si>
  <si>
    <t xml:space="preserve">K312 </t>
  </si>
  <si>
    <t xml:space="preserve">Üzemeltetési anyagok </t>
  </si>
  <si>
    <t>Karbantartási kiadások</t>
  </si>
  <si>
    <t>Egyéb tárgyi eszköz beszerzése</t>
  </si>
  <si>
    <t>Beruházási áfa</t>
  </si>
  <si>
    <t>082092 Közművelődés-hagyományos közösségi kulturális értékek gondozása (Bagolyfészek)</t>
  </si>
  <si>
    <t>Törvény szerinti illetmények, munkabérek ( 5 fő)</t>
  </si>
  <si>
    <t>Foglalkoztatottak személyi juttatása</t>
  </si>
  <si>
    <t xml:space="preserve">Szakmai anyagok beszerzése </t>
  </si>
  <si>
    <t>Közüzemi díjak - vízdíj</t>
  </si>
  <si>
    <t>Bérleti díjak (majális, gyereknap, advent)</t>
  </si>
  <si>
    <t xml:space="preserve">Egyéb szakmai szolgáltatás </t>
  </si>
  <si>
    <t>Egyéb szolgáltatások  (színház, gyereknap, majális)</t>
  </si>
  <si>
    <t>Kiküldetések</t>
  </si>
  <si>
    <t>Reklám és propaganda</t>
  </si>
  <si>
    <t>EGYESÍTETT MŰV. INTÉZMÉNYEK ÖSSZESEN:</t>
  </si>
  <si>
    <t>EPERKE BÖLCSŐDE - KIADÁSOK</t>
  </si>
  <si>
    <t xml:space="preserve">Céljuttatás, projektprémium </t>
  </si>
  <si>
    <t>Készenléti, ügyeleti, helyettesítési díj, túlóra</t>
  </si>
  <si>
    <t xml:space="preserve">Ruházati költségtérítés </t>
  </si>
  <si>
    <t>K1109</t>
  </si>
  <si>
    <t>Közlekedési költségtérítés</t>
  </si>
  <si>
    <t>Foglalkoztatottak egyéb személyi juttatásai teljesítése</t>
  </si>
  <si>
    <t xml:space="preserve">Egyéb külső személyi juttatások </t>
  </si>
  <si>
    <t>Szakmai anyagok (folyóirat, szakkönyv)</t>
  </si>
  <si>
    <t>Bérleti és lízingdíjak</t>
  </si>
  <si>
    <t>Kiküldetések kiadási</t>
  </si>
  <si>
    <t>Dologi kiadás áfa</t>
  </si>
  <si>
    <t xml:space="preserve">K63 </t>
  </si>
  <si>
    <t>Informatikai eszköz</t>
  </si>
  <si>
    <t>Tárgyi eszköz áfa</t>
  </si>
  <si>
    <t>Tárgyi eszköz összesen:</t>
  </si>
  <si>
    <t>EPERKE BOLCSŐDE ÖSSZESEN:</t>
  </si>
  <si>
    <t>B8111</t>
  </si>
  <si>
    <t>K65</t>
  </si>
  <si>
    <t>Részesedés beszerzése</t>
  </si>
  <si>
    <t>Beruházások összesen:</t>
  </si>
  <si>
    <t>Hosszú lejáratú hitel - üzletrész vásárlás</t>
  </si>
  <si>
    <t>018020- Támogatási célú finanszírozási műveletek</t>
  </si>
  <si>
    <t>Közüzemi díjak - vízdíjak</t>
  </si>
  <si>
    <t>-</t>
  </si>
  <si>
    <t>062020 Településfejlesztési projektek és támogatásuk</t>
  </si>
  <si>
    <t>Összesen:</t>
  </si>
  <si>
    <t>B410</t>
  </si>
  <si>
    <t>Biztosítók által fizetett kártérítés</t>
  </si>
  <si>
    <t>Egyéb tárgyi eszköz értékesítése</t>
  </si>
  <si>
    <r>
      <t>Egyéb fejezeti kezelésű ei.-tól műk. tám.</t>
    </r>
    <r>
      <rPr>
        <sz val="10"/>
        <rFont val="Arial CE"/>
        <charset val="238"/>
      </rPr>
      <t xml:space="preserve"> (mezőőri tám)</t>
    </r>
  </si>
  <si>
    <r>
      <t xml:space="preserve">Belterületi útfelújítás -  </t>
    </r>
    <r>
      <rPr>
        <sz val="10"/>
        <rFont val="Arial CE"/>
        <charset val="238"/>
      </rPr>
      <t>Árpád u (MFP)</t>
    </r>
  </si>
  <si>
    <r>
      <t xml:space="preserve">Arany János utca útfelújítás </t>
    </r>
    <r>
      <rPr>
        <sz val="10"/>
        <rFont val="Arial CE"/>
        <charset val="238"/>
      </rPr>
      <t>(Külterületi helyi közút pályázat)</t>
    </r>
  </si>
  <si>
    <r>
      <t xml:space="preserve">Felelős állattartás </t>
    </r>
    <r>
      <rPr>
        <sz val="10"/>
        <rFont val="Arial CE"/>
        <charset val="238"/>
      </rPr>
      <t>(MFP)</t>
    </r>
  </si>
  <si>
    <r>
      <t xml:space="preserve">Belterületi utak feljesztése </t>
    </r>
    <r>
      <rPr>
        <sz val="10"/>
        <rFont val="Arial CE"/>
        <charset val="238"/>
      </rPr>
      <t>(Monori út- TOP-PLUSZ)</t>
    </r>
  </si>
  <si>
    <r>
      <t xml:space="preserve">Iskola Sportpálya </t>
    </r>
    <r>
      <rPr>
        <sz val="10"/>
        <rFont val="Arial CE"/>
        <charset val="238"/>
      </rPr>
      <t>(aktív Magyarország- NNÖNK)</t>
    </r>
  </si>
  <si>
    <r>
      <t xml:space="preserve">Pumpapálya </t>
    </r>
    <r>
      <rPr>
        <sz val="10"/>
        <rFont val="Arial CE"/>
        <charset val="238"/>
      </rPr>
      <t xml:space="preserve">(aktív Magyarország- ÖNK) </t>
    </r>
  </si>
  <si>
    <r>
      <t xml:space="preserve">Helyi Humánforrás fejlesztése </t>
    </r>
    <r>
      <rPr>
        <sz val="10"/>
        <rFont val="Arial CE"/>
        <charset val="238"/>
      </rPr>
      <t>(TOP-PLUSZ-ÖNK)</t>
    </r>
  </si>
  <si>
    <r>
      <t xml:space="preserve">Számítógép beszerzés </t>
    </r>
    <r>
      <rPr>
        <sz val="10"/>
        <rFont val="Arial CE"/>
        <charset val="238"/>
      </rPr>
      <t>(Hivatalba 4 gép)</t>
    </r>
  </si>
  <si>
    <r>
      <t xml:space="preserve">Turisztikai feljesztés </t>
    </r>
    <r>
      <rPr>
        <sz val="10"/>
        <rFont val="Arial CE"/>
        <charset val="238"/>
      </rPr>
      <t>(Nemzeriségek Hagyományok Háza alapítvány-LEADER)</t>
    </r>
  </si>
  <si>
    <r>
      <t xml:space="preserve">Fásítási program </t>
    </r>
    <r>
      <rPr>
        <sz val="10"/>
        <rFont val="Arial CE"/>
        <charset val="238"/>
      </rPr>
      <t>(Zöld oázis- ÖNK)</t>
    </r>
  </si>
  <si>
    <r>
      <t xml:space="preserve">Néptáncegyesületek felvétele </t>
    </r>
    <r>
      <rPr>
        <sz val="10"/>
        <rFont val="Arial CE"/>
        <charset val="238"/>
      </rPr>
      <t>(Nemzeti kulturális alap-NNÖNK)</t>
    </r>
  </si>
  <si>
    <r>
      <t xml:space="preserve">Zöld-kék infrastruktúra feljesztése </t>
    </r>
    <r>
      <rPr>
        <sz val="10"/>
        <rFont val="Arial CE"/>
        <charset val="238"/>
      </rPr>
      <t>(TOP-PLUSZ ÖNK)</t>
    </r>
  </si>
  <si>
    <r>
      <t xml:space="preserve">Tulajdonosi bevételek </t>
    </r>
    <r>
      <rPr>
        <sz val="10"/>
        <rFont val="Arial CE"/>
        <charset val="238"/>
      </rPr>
      <t>(bérleti díjak)</t>
    </r>
  </si>
  <si>
    <r>
      <t>Egyéb műk. célú tám. bev. államh. belülrő</t>
    </r>
    <r>
      <rPr>
        <sz val="10"/>
        <rFont val="Arial CE"/>
        <charset val="238"/>
      </rPr>
      <t>l(gyerekorvos+ felnőtt háziorvos)</t>
    </r>
  </si>
  <si>
    <r>
      <t xml:space="preserve">Egyéb működési célú támogatás államh. </t>
    </r>
    <r>
      <rPr>
        <sz val="10"/>
        <rFont val="Arial CE"/>
        <charset val="238"/>
      </rPr>
      <t>Belülről (NEAK)</t>
    </r>
  </si>
  <si>
    <r>
      <t xml:space="preserve">Ellátási díjak </t>
    </r>
    <r>
      <rPr>
        <sz val="10"/>
        <rFont val="Arial CE"/>
        <charset val="238"/>
      </rPr>
      <t>(Iskola, óvoda)</t>
    </r>
  </si>
  <si>
    <r>
      <t xml:space="preserve">102050 Idősügyi önkormányzati kezdeményezések, programok </t>
    </r>
    <r>
      <rPr>
        <sz val="10"/>
        <rFont val="Arial CE"/>
        <charset val="238"/>
      </rPr>
      <t>(Idősek Otthona)</t>
    </r>
  </si>
  <si>
    <t xml:space="preserve">Választás lebonyolításának támogatása </t>
  </si>
  <si>
    <r>
      <t>Szolgáltatás ellenértéke</t>
    </r>
    <r>
      <rPr>
        <sz val="10"/>
        <rFont val="Arial"/>
        <family val="2"/>
        <charset val="238"/>
      </rPr>
      <t xml:space="preserve"> (esküvő)</t>
    </r>
  </si>
  <si>
    <r>
      <t>Közvetített szolgáltatások ellenértéke</t>
    </r>
    <r>
      <rPr>
        <sz val="10"/>
        <rFont val="Arial"/>
        <family val="2"/>
        <charset val="238"/>
      </rPr>
      <t xml:space="preserve"> (telefondíj továbbszámlázása)</t>
    </r>
  </si>
  <si>
    <r>
      <t xml:space="preserve">Szolgáltatás ellenértéke </t>
    </r>
    <r>
      <rPr>
        <sz val="10"/>
        <rFont val="Arial"/>
        <family val="2"/>
        <charset val="238"/>
      </rPr>
      <t>(színházjegy)</t>
    </r>
  </si>
  <si>
    <r>
      <t xml:space="preserve">Ellátási díjak </t>
    </r>
    <r>
      <rPr>
        <sz val="10"/>
        <rFont val="Arial"/>
        <family val="2"/>
        <charset val="238"/>
      </rPr>
      <t>(táborok bevétele)</t>
    </r>
  </si>
  <si>
    <t>2026. évi előirányzat</t>
  </si>
  <si>
    <t>Iparűzési adótöbblet miatti befizetési kötelezettség visszatérítése (35%)</t>
  </si>
  <si>
    <r>
      <t xml:space="preserve">Mozgások éjszakája </t>
    </r>
    <r>
      <rPr>
        <sz val="10"/>
        <rFont val="Arial CE"/>
        <charset val="238"/>
      </rPr>
      <t>(terülefejlesztési Minisztérium)</t>
    </r>
  </si>
  <si>
    <t xml:space="preserve">Lomtalanítás </t>
  </si>
  <si>
    <t xml:space="preserve">Közvilágítás bővítése </t>
  </si>
  <si>
    <t xml:space="preserve">2026. évi költségvetés - Bevételek </t>
  </si>
  <si>
    <t>ÖNKORMÁNYZAT MÜKÖDÉSI BEVÉTELEK ÖSSZESEN:</t>
  </si>
  <si>
    <t>2026. évi költségvetés - Kiadások</t>
  </si>
  <si>
    <t>Ingatlan vásárlás  Hősök tere 1</t>
  </si>
  <si>
    <t>Ingatlan felújítás (Tájház pince és bagoly terasz-MFP)</t>
  </si>
  <si>
    <t>Zöld Oázis 2026 pályázat</t>
  </si>
  <si>
    <t>Mozgások éjszakája pályázat</t>
  </si>
  <si>
    <t>Zöld-Kék infrastruktúra pályázat</t>
  </si>
  <si>
    <t>NNÖNK Sportpálya pályázati támogatása</t>
  </si>
  <si>
    <t>Nemzetiségi Hagyományok Háza túrisztikai fejlesztés pályázat támogatása</t>
  </si>
  <si>
    <t>NNÖNK Táncegyüttesek felvétele pályázat</t>
  </si>
  <si>
    <t xml:space="preserve">Tárgyi eszköz beszerzése </t>
  </si>
  <si>
    <t>Költségtérítés</t>
  </si>
  <si>
    <t>Ovodáztatási támogatás</t>
  </si>
  <si>
    <t>Elsőlakáshoz jutók támogatása</t>
  </si>
  <si>
    <t>Élmény és Szabadidősport</t>
  </si>
  <si>
    <t>Játszótér MFP</t>
  </si>
  <si>
    <t>UTÜ-OKIP Faluközpont felújítás</t>
  </si>
  <si>
    <r>
      <t xml:space="preserve">Települési önk. szociális és gyermekjóléti feladat </t>
    </r>
    <r>
      <rPr>
        <sz val="10"/>
        <rFont val="Arial CE"/>
        <charset val="238"/>
      </rPr>
      <t>(bölcsi bértámogatás)</t>
    </r>
  </si>
  <si>
    <r>
      <t xml:space="preserve">Elszámolásból származó bevételek </t>
    </r>
    <r>
      <rPr>
        <sz val="10"/>
        <rFont val="Arial CE"/>
        <charset val="238"/>
      </rPr>
      <t>(MÁK bölcsi SNI gyerektámogatás pótigény)</t>
    </r>
  </si>
  <si>
    <r>
      <t>Kiadások visszatérítései</t>
    </r>
    <r>
      <rPr>
        <sz val="10"/>
        <rFont val="Arial CE"/>
        <charset val="238"/>
      </rPr>
      <t>(szállítókhoz kapcsolódó tétel)</t>
    </r>
  </si>
  <si>
    <r>
      <t>Áh-n belüli megelőlegezés teljesítése</t>
    </r>
    <r>
      <rPr>
        <sz val="10"/>
        <rFont val="Arial CE"/>
        <charset val="238"/>
      </rPr>
      <t xml:space="preserve"> (megelőlegezés rendezése)</t>
    </r>
  </si>
  <si>
    <t>062020 - Településfejlesztési projektek és támogatásuk</t>
  </si>
  <si>
    <t>Kiadások visszatérítései (MVM, szállítók)</t>
  </si>
  <si>
    <t>Építmény adó</t>
  </si>
  <si>
    <t>Kommunális adó</t>
  </si>
  <si>
    <t>900020 - Önkormányzati funkcióra nem sorolható bevételek</t>
  </si>
  <si>
    <t>Telek adó</t>
  </si>
  <si>
    <t>Kiadások visszatérítései (szállítók)</t>
  </si>
  <si>
    <t>Egyéb dologi kiadások (kötbér, betétdíj, cégautóadó)</t>
  </si>
  <si>
    <t>Fizetendő áfa (áfabevallás)</t>
  </si>
  <si>
    <r>
      <t xml:space="preserve">Megelőlegezés </t>
    </r>
    <r>
      <rPr>
        <sz val="10"/>
        <rFont val="Arial CE"/>
        <charset val="238"/>
      </rPr>
      <t>(előre nem tervezhető, 00 . Havi támogatás)</t>
    </r>
  </si>
  <si>
    <t>Szakmai szolgáltatások (képzés)</t>
  </si>
  <si>
    <t>Egyéb szolgáltatások, jogdíjak (Berotel)</t>
  </si>
  <si>
    <r>
      <t xml:space="preserve">Likviditási célú hitelek, kölcsönök  </t>
    </r>
    <r>
      <rPr>
        <sz val="10"/>
        <rFont val="Arial CE"/>
        <charset val="238"/>
      </rPr>
      <t>(folyószámla hitel)</t>
    </r>
  </si>
  <si>
    <t>Városnap</t>
  </si>
  <si>
    <t>Mentes konyha bevétele</t>
  </si>
  <si>
    <t>Járulék (Rehab 3.600.000 Ft</t>
  </si>
  <si>
    <r>
      <t xml:space="preserve">Intézményi felújítás </t>
    </r>
    <r>
      <rPr>
        <sz val="10"/>
        <rFont val="Arial CE"/>
        <charset val="238"/>
      </rPr>
      <t>( Játszótér -MFP)</t>
    </r>
  </si>
  <si>
    <t xml:space="preserve"> NNÖNK és Hagyományok háza pályázat </t>
  </si>
  <si>
    <t>Faluközpont hitel 300 millió 2027-től</t>
  </si>
  <si>
    <t>Megbízási díj (takarító)</t>
  </si>
  <si>
    <t>2025.12.31 
Tény</t>
  </si>
  <si>
    <t>NN Önkormányzattól kapott működési támogatás</t>
  </si>
  <si>
    <t>LEADER (pályázati díjak)</t>
  </si>
  <si>
    <t>2025. évi eredeti előirányzat</t>
  </si>
  <si>
    <t>Bérleti és lízing díjak</t>
  </si>
  <si>
    <t>2025.12. 31.  TÉNY</t>
  </si>
  <si>
    <t>Polgármester bértámogatása</t>
  </si>
  <si>
    <t>Helyi önkormányzatok működésének ált. tám.+ közvilágítás kieg tám.+ Hivatal bértám.</t>
  </si>
  <si>
    <t>20 m3 tüzifa</t>
  </si>
  <si>
    <t>Töblet tüzifa összevágása</t>
  </si>
  <si>
    <t>Életminőség javítása támogatás (DAKÖV)</t>
  </si>
  <si>
    <t>Egyéb külső személyi juttatások</t>
  </si>
  <si>
    <t>LEADER UTÜ-OKIP Faluközpont falelválasztó</t>
  </si>
  <si>
    <t>LEADER Nemzetiségi Hagyományok Háza Konténer</t>
  </si>
  <si>
    <t>Foglalkoztatottak egyéb személyi juttatásai (táppénz fizetési köt. - hagyatékba került)</t>
  </si>
  <si>
    <t>Egyéb dologi kiadás (kerekítési különbözet)</t>
  </si>
  <si>
    <t>Helyi önkormányzatok törvényi előíráson alapuló befiz. (szolidaritási hj.)</t>
  </si>
  <si>
    <t>Egyéb dologi kiadás (finanszírozási különbözet)</t>
  </si>
  <si>
    <t>Együtt segítő szolgálat (működés)</t>
  </si>
  <si>
    <t>Együttsegítő szolgálat  (gondozottaktól átvállalt díj/1100Ft/óra)</t>
  </si>
  <si>
    <t>Együtt segítő szolgálat (+ 1 fő foglalkoztatása)</t>
  </si>
  <si>
    <t>Nemzetiségi ÖNK támogatása (éves működési támogatás)</t>
  </si>
  <si>
    <t>Rendőrség támogatása (túlszolgálat)</t>
  </si>
  <si>
    <t>Sport éves támogatása (ÚVSE)</t>
  </si>
  <si>
    <t>Nemzetiségi Hagyományok Háza (Hartyánfeszt)</t>
  </si>
  <si>
    <t xml:space="preserve">Egyéb juttatás (betegszabadság) </t>
  </si>
  <si>
    <t>Egyéb juttatás nem saját fogl. (helyettesítés)</t>
  </si>
  <si>
    <t>Egyéb külső személyi juttatás (fakihordás)</t>
  </si>
  <si>
    <t>Üzemeltetési anyag (tankolás, láthatósági mellény, munkaruha)</t>
  </si>
  <si>
    <t>Egyéb kommunikációs szolgáltatások (telefon)</t>
  </si>
  <si>
    <t xml:space="preserve">Karbantartás, kisjavítás (autójavítás) </t>
  </si>
  <si>
    <t>Egyéb szolg. (bizt. díj, oktatás)</t>
  </si>
  <si>
    <t>Egyéb szolgáltatások (elektronikai hulladék)</t>
  </si>
  <si>
    <t>Egyéb szolgáltatások (megalapozó dokumentum pályázat, tervek)</t>
  </si>
  <si>
    <t xml:space="preserve">Pumpapálya (Aktív Magyarország) </t>
  </si>
  <si>
    <t>Helyi Humánerrőforrás fejlesztése (TOP-PLUSZ)</t>
  </si>
  <si>
    <t>Számítógép beszerzése (4 gép)</t>
  </si>
  <si>
    <t>Felelős állattartás (MFP)</t>
  </si>
  <si>
    <t>Belterületi útfelújítás -  (Árpád utca-MFP)</t>
  </si>
  <si>
    <t xml:space="preserve">Belterületi utak fejlesztése Monori út felújítása (TPO-Plusz, ÖNK) </t>
  </si>
  <si>
    <t>Közvilágítás korszerűsítés (PS Projekt kft)</t>
  </si>
  <si>
    <t>Egyéb személyi juttatás (többletfeladat, betegszabadság)</t>
  </si>
  <si>
    <t>Szakmai anyag (orvosi rendelőbe)</t>
  </si>
  <si>
    <t>Informatikai szolgáltatások (térfigyelő kamera)</t>
  </si>
  <si>
    <t>Kommunikációs szolgáltatások (VODAFON)</t>
  </si>
  <si>
    <t>Közüzemi díjak - áramdíj (bérlemény, kutak árama)</t>
  </si>
  <si>
    <t xml:space="preserve"> Közüzemi díjak - gázdíj (bérlemények)</t>
  </si>
  <si>
    <t>Bérleti és lízing díjak (búcsú wc bérlés, sátor bérlés)</t>
  </si>
  <si>
    <t>Fizetendő ÁFA (bevételek után fizetendő NAV felé)</t>
  </si>
  <si>
    <t>Egyéb személyi juttatás (helyettesítés)</t>
  </si>
  <si>
    <t>Egyéb komm. Szolg.  (telefon, internet)</t>
  </si>
  <si>
    <t>Egyéb szolgáltatások (kéményseprés, veszélyes hulladék)</t>
  </si>
  <si>
    <t>Alapilletmény  (fél állás, iskolai védőnői feladatok)</t>
  </si>
  <si>
    <t>Üzemeltetési anyagok (irodaszer , gyógyszer, )</t>
  </si>
  <si>
    <t>Informatikai szolgáltatások (védőnői szoftver)</t>
  </si>
  <si>
    <t>Kommunikációs szolgáltatások (telefon)</t>
  </si>
  <si>
    <t>Egyéb személyi juttatásai ( 2 fő sportfelelősők)</t>
  </si>
  <si>
    <t>Kommunikációs szolgáltatások (Berotel, Vodafon)</t>
  </si>
  <si>
    <t xml:space="preserve">Civil alap (irodalmi est, zenés augusztus) </t>
  </si>
  <si>
    <t>Üzemeltetési anyag (hangszer)</t>
  </si>
  <si>
    <t>Karbantartási szolgáltatás (hangszer javítása)</t>
  </si>
  <si>
    <t>Egyéb tárgyi eszközök beszerzése (hangszerek)</t>
  </si>
  <si>
    <t>Önkormányzati ösztöndíj (13 fő)</t>
  </si>
  <si>
    <t>Törvény szerinti illetmények (8 fő )</t>
  </si>
  <si>
    <t>Szakmai anyagok (irodaszer, gyógyszer)</t>
  </si>
  <si>
    <t>Üzemeltetési anyagok beszerzése (élelmiszer, tisztítószer, üzemanyag)</t>
  </si>
  <si>
    <t>Üzemletetési anyag (80 év felketti)</t>
  </si>
  <si>
    <t>Informatikai szolgáltatás (program)</t>
  </si>
  <si>
    <t>Egyéb kommunikációs szolgáltatás (Vodafon)</t>
  </si>
  <si>
    <t>Bérleti díjak (NHSZ edény bérlés)</t>
  </si>
  <si>
    <t>Egyéb szolgáltatás (hulladékszállítás, kéményseprés, ATEV, biofilter, rágcsálóírtás, munkavédelem, mintavételek)</t>
  </si>
  <si>
    <t>Egyéb dologi kiadás (havi díj)</t>
  </si>
  <si>
    <t>Törvény szerinti illetmény (1 fő)</t>
  </si>
  <si>
    <t>Üzemeltetési anyag (irodaszer, tisztítószer)</t>
  </si>
  <si>
    <t>Kommunikációs szolgáltatás (Vodafon, Beloter)</t>
  </si>
  <si>
    <t>Üzemeltetési anyag (szociális tűzifa)</t>
  </si>
  <si>
    <t>Egyéb szolgáltatás (összevágás)</t>
  </si>
  <si>
    <t>Települési támogatás kiadásai (köztemetés, gyógyszertámogatás, karácsonyi támogatás)</t>
  </si>
  <si>
    <t>Támogatás háztartásoknak (Lakásfenntartási támogatás)</t>
  </si>
  <si>
    <t>Céljuttatás  (jutalmak)</t>
  </si>
  <si>
    <t>Béren kívüli juttatások (cafetéria)</t>
  </si>
  <si>
    <t xml:space="preserve">Kommunikációs szolgáltatások ( telefon, internet) </t>
  </si>
  <si>
    <t>Közüzemi díjak - áramdíj (Fő utca 21+ Hősök tere 5-7+ gyerekorvosi rendelő)</t>
  </si>
  <si>
    <t>Közüzemi díjak - gázdíj (Fő utca 21+ Hősök tere 5-7)</t>
  </si>
  <si>
    <t>Közüzemi díjak - vízdíj- és csatornadíj (fő utcai ingatlan is)</t>
  </si>
  <si>
    <t>Béren kívüli juttatások (Otthontámogatás)</t>
  </si>
  <si>
    <t>Járulékok (Otthontámogatás)</t>
  </si>
  <si>
    <t>Választott tisztségviselők juttatásai (otthontámogatás)</t>
  </si>
  <si>
    <t>Tartalék (általános)</t>
  </si>
  <si>
    <t xml:space="preserve">Otthontámogatás  </t>
  </si>
  <si>
    <t xml:space="preserve">Szolgáltatások ellenértéke </t>
  </si>
  <si>
    <t xml:space="preserve">Egyéb működési bevételek </t>
  </si>
  <si>
    <t xml:space="preserve">Egyéb tárgyi eszköz értékesítése </t>
  </si>
  <si>
    <t xml:space="preserve">Működési célú átvett pénzeszköz bevételei </t>
  </si>
  <si>
    <r>
      <t>Szolgáltatás ellenértéke</t>
    </r>
    <r>
      <rPr>
        <sz val="10"/>
        <rFont val="Arial CE"/>
        <charset val="238"/>
      </rPr>
      <t xml:space="preserve"> </t>
    </r>
  </si>
  <si>
    <t>Közvezített szolgáltatás</t>
  </si>
  <si>
    <r>
      <t>Ellátási díjak</t>
    </r>
    <r>
      <rPr>
        <sz val="10"/>
        <rFont val="Arial CE"/>
        <charset val="238"/>
      </rPr>
      <t xml:space="preserve"> </t>
    </r>
  </si>
  <si>
    <t>Egyéb közhatalmi bevételek</t>
  </si>
  <si>
    <t xml:space="preserve">Kiadások visszatérítései  </t>
  </si>
  <si>
    <r>
      <t xml:space="preserve">Kiadások visszatérítései </t>
    </r>
    <r>
      <rPr>
        <sz val="10"/>
        <rFont val="Arial CE"/>
        <charset val="238"/>
      </rPr>
      <t xml:space="preserve"> </t>
    </r>
  </si>
  <si>
    <t>Választott tisztségviselők juttatásai</t>
  </si>
  <si>
    <t xml:space="preserve">Egyéb szolgáltatás </t>
  </si>
  <si>
    <t xml:space="preserve">BURSA </t>
  </si>
  <si>
    <t xml:space="preserve">UTÜ-OKIP működéshez fenntartói hozzájárulás </t>
  </si>
  <si>
    <t>NNÖNK Sportpályázatra</t>
  </si>
  <si>
    <t xml:space="preserve">Egyéb sporttámogatás </t>
  </si>
  <si>
    <t xml:space="preserve">NKE támogatás </t>
  </si>
  <si>
    <t xml:space="preserve">Támogatás háztartásoknak </t>
  </si>
  <si>
    <t>Finanszírozás (intézményi finanszírozás)</t>
  </si>
  <si>
    <t>Közalkalmazottak jutt. (12 fő)</t>
  </si>
  <si>
    <t xml:space="preserve">Egyéb juttatás nem saját fogl. </t>
  </si>
  <si>
    <t xml:space="preserve">Egyéb külső juttatás </t>
  </si>
  <si>
    <t xml:space="preserve">Üzemeltetési anyag </t>
  </si>
  <si>
    <t xml:space="preserve">Vásárolt élelmezés </t>
  </si>
  <si>
    <t xml:space="preserve">Szakmai tev.segítő szolgáltatás </t>
  </si>
  <si>
    <t xml:space="preserve">Reklám és propaganda kiadások </t>
  </si>
  <si>
    <t xml:space="preserve">Dologi kiadások  </t>
  </si>
  <si>
    <t xml:space="preserve">Ingatlanok létesítése </t>
  </si>
  <si>
    <t xml:space="preserve">Informatikai eszköz beszerzés </t>
  </si>
  <si>
    <t xml:space="preserve">Tárgyi eszköz beszerzés </t>
  </si>
  <si>
    <t xml:space="preserve">Ingatlan felújítás </t>
  </si>
  <si>
    <t>Alapilletmény (6fő)</t>
  </si>
  <si>
    <t>Megbízási díj,  (vévétel, fiziko, gyógymasszőr)</t>
  </si>
  <si>
    <t xml:space="preserve">Üzemeltetési anyagok beszerzése </t>
  </si>
  <si>
    <t xml:space="preserve">Informatikai szolgáltatás </t>
  </si>
  <si>
    <t>Karbantartás</t>
  </si>
  <si>
    <t xml:space="preserve">Szakmai szolgáltatás </t>
  </si>
  <si>
    <t xml:space="preserve">Szakmai anyagok </t>
  </si>
  <si>
    <t>Személyi juttatás ( 2 fő)</t>
  </si>
  <si>
    <t xml:space="preserve"> Foglalkoztatottak egyéb személyi juttatásai </t>
  </si>
  <si>
    <t xml:space="preserve">Tárgyi eszköz </t>
  </si>
  <si>
    <t xml:space="preserve">Egyéb külső személyi jutt. </t>
  </si>
  <si>
    <t xml:space="preserve">Jubielumi jutalom </t>
  </si>
  <si>
    <t xml:space="preserve">Foglalkoztatottak egyéb személyi juttatásai </t>
  </si>
  <si>
    <t xml:space="preserve">Szakmai tevékenységet segítő szolg. </t>
  </si>
  <si>
    <t xml:space="preserve">Egyéb szolgáltatások </t>
  </si>
  <si>
    <t xml:space="preserve">Egyéb tárgyi eszközök beszerzése </t>
  </si>
  <si>
    <t xml:space="preserve">Közüzemi díjak - gázdíj </t>
  </si>
  <si>
    <t>Várásolt élelmiszer</t>
  </si>
  <si>
    <t xml:space="preserve">Egyéb tárgyi eszköz beszerzése </t>
  </si>
  <si>
    <t>Törvény szerinti illetmények (18,5 fő)</t>
  </si>
  <si>
    <t>Törvény szerinti illetmények (13 fő)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</si>
</sst>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-* #,##0.00\ _F_t_-;\-* #,##0.00\ _F_t_-;_-* &quot;-&quot;??\ _F_t_-;_-@_-"/>
    <numFmt numFmtId="165" formatCode="_-* #,##0_-;\-* #,##0_-;_-* &quot;-&quot;??_-;_-@_-"/>
    <numFmt numFmtId="166" formatCode="_-* #,##0\ _F_t_-;\-* #,##0\ _F_t_-;_-* &quot;-&quot;??\ _F_t_-;_-@_-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12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6"/>
      <name val="Arial CE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 CE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 CE"/>
      <charset val="238"/>
    </font>
    <font>
      <b/>
      <sz val="16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theme="1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rgb="FF00B0F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6" fillId="0" borderId="0" applyFont="0" applyFill="0" applyBorder="0" applyAlignment="0" applyProtection="0"/>
  </cellStyleXfs>
  <cellXfs count="316">
    <xf numFmtId="0" fontId="0" fillId="0" borderId="0" xfId="0"/>
    <xf numFmtId="0" fontId="2" fillId="0" borderId="0" xfId="0" applyFont="1"/>
    <xf numFmtId="165" fontId="4" fillId="0" borderId="0" xfId="1" applyNumberFormat="1" applyFont="1" applyFill="1" applyAlignment="1">
      <alignment horizontal="right"/>
    </xf>
    <xf numFmtId="165" fontId="3" fillId="0" borderId="0" xfId="1" applyNumberFormat="1" applyFont="1" applyFill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vertical="center"/>
    </xf>
    <xf numFmtId="1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0" fontId="8" fillId="0" borderId="1" xfId="0" applyFont="1" applyBorder="1"/>
    <xf numFmtId="0" fontId="8" fillId="0" borderId="1" xfId="0" applyFont="1" applyBorder="1" applyAlignment="1">
      <alignment horizontal="left"/>
    </xf>
    <xf numFmtId="165" fontId="9" fillId="0" borderId="1" xfId="1" applyNumberFormat="1" applyFont="1" applyBorder="1" applyAlignment="1">
      <alignment vertical="center"/>
    </xf>
    <xf numFmtId="165" fontId="7" fillId="2" borderId="1" xfId="1" applyNumberFormat="1" applyFont="1" applyFill="1" applyBorder="1" applyAlignment="1">
      <alignment vertical="center"/>
    </xf>
    <xf numFmtId="1" fontId="11" fillId="0" borderId="1" xfId="1" applyNumberFormat="1" applyFont="1" applyFill="1" applyBorder="1"/>
    <xf numFmtId="165" fontId="11" fillId="0" borderId="1" xfId="1" applyNumberFormat="1" applyFont="1" applyFill="1" applyBorder="1"/>
    <xf numFmtId="165" fontId="11" fillId="0" borderId="1" xfId="1" applyNumberFormat="1" applyFont="1" applyBorder="1"/>
    <xf numFmtId="0" fontId="8" fillId="0" borderId="2" xfId="0" applyFont="1" applyBorder="1" applyAlignment="1">
      <alignment horizontal="left"/>
    </xf>
    <xf numFmtId="165" fontId="7" fillId="2" borderId="1" xfId="1" applyNumberFormat="1" applyFont="1" applyFill="1" applyBorder="1"/>
    <xf numFmtId="165" fontId="4" fillId="0" borderId="1" xfId="1" applyNumberFormat="1" applyFont="1" applyFill="1" applyBorder="1"/>
    <xf numFmtId="165" fontId="4" fillId="0" borderId="1" xfId="1" applyNumberFormat="1" applyFont="1" applyBorder="1"/>
    <xf numFmtId="165" fontId="11" fillId="3" borderId="1" xfId="1" applyNumberFormat="1" applyFont="1" applyFill="1" applyBorder="1" applyAlignment="1">
      <alignment horizontal="center"/>
    </xf>
    <xf numFmtId="165" fontId="6" fillId="2" borderId="1" xfId="0" applyNumberFormat="1" applyFont="1" applyFill="1" applyBorder="1"/>
    <xf numFmtId="165" fontId="7" fillId="2" borderId="1" xfId="0" applyNumberFormat="1" applyFont="1" applyFill="1" applyBorder="1"/>
    <xf numFmtId="165" fontId="6" fillId="2" borderId="1" xfId="1" applyNumberFormat="1" applyFont="1" applyFill="1" applyBorder="1"/>
    <xf numFmtId="0" fontId="6" fillId="0" borderId="0" xfId="0" applyFont="1"/>
    <xf numFmtId="165" fontId="7" fillId="0" borderId="0" xfId="1" applyNumberFormat="1" applyFont="1" applyFill="1" applyBorder="1"/>
    <xf numFmtId="165" fontId="6" fillId="0" borderId="0" xfId="1" applyNumberFormat="1" applyFont="1" applyFill="1" applyBorder="1"/>
    <xf numFmtId="165" fontId="4" fillId="0" borderId="1" xfId="1" applyNumberFormat="1" applyFont="1" applyFill="1" applyBorder="1" applyAlignment="1"/>
    <xf numFmtId="1" fontId="4" fillId="0" borderId="1" xfId="1" applyNumberFormat="1" applyFont="1" applyFill="1" applyBorder="1"/>
    <xf numFmtId="165" fontId="2" fillId="2" borderId="1" xfId="1" applyNumberFormat="1" applyFont="1" applyFill="1" applyBorder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center"/>
    </xf>
    <xf numFmtId="165" fontId="4" fillId="0" borderId="1" xfId="1" applyNumberFormat="1" applyFont="1" applyBorder="1" applyAlignment="1"/>
    <xf numFmtId="0" fontId="8" fillId="0" borderId="2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5" xfId="0" applyFont="1" applyBorder="1"/>
    <xf numFmtId="0" fontId="2" fillId="2" borderId="2" xfId="0" applyFont="1" applyFill="1" applyBorder="1"/>
    <xf numFmtId="0" fontId="11" fillId="0" borderId="1" xfId="0" applyFont="1" applyBorder="1"/>
    <xf numFmtId="165" fontId="4" fillId="0" borderId="1" xfId="2" applyNumberFormat="1" applyFont="1" applyBorder="1"/>
    <xf numFmtId="0" fontId="4" fillId="0" borderId="1" xfId="0" applyFont="1" applyBorder="1"/>
    <xf numFmtId="0" fontId="2" fillId="2" borderId="6" xfId="0" applyFont="1" applyFill="1" applyBorder="1"/>
    <xf numFmtId="165" fontId="2" fillId="2" borderId="3" xfId="0" applyNumberFormat="1" applyFont="1" applyFill="1" applyBorder="1"/>
    <xf numFmtId="0" fontId="2" fillId="0" borderId="4" xfId="0" applyFont="1" applyBorder="1" applyAlignment="1">
      <alignment horizontal="center"/>
    </xf>
    <xf numFmtId="0" fontId="5" fillId="0" borderId="0" xfId="0" applyFont="1"/>
    <xf numFmtId="0" fontId="6" fillId="3" borderId="0" xfId="0" applyFont="1" applyFill="1"/>
    <xf numFmtId="165" fontId="8" fillId="0" borderId="1" xfId="1" applyNumberFormat="1" applyFont="1" applyBorder="1" applyAlignment="1">
      <alignment horizontal="left"/>
    </xf>
    <xf numFmtId="165" fontId="12" fillId="0" borderId="1" xfId="1" applyNumberFormat="1" applyFont="1" applyBorder="1" applyAlignment="1">
      <alignment horizontal="left"/>
    </xf>
    <xf numFmtId="165" fontId="8" fillId="0" borderId="1" xfId="1" applyNumberFormat="1" applyFont="1" applyFill="1" applyBorder="1" applyAlignment="1">
      <alignment horizontal="left"/>
    </xf>
    <xf numFmtId="165" fontId="3" fillId="0" borderId="0" xfId="3" applyNumberFormat="1" applyFont="1" applyFill="1" applyBorder="1"/>
    <xf numFmtId="165" fontId="2" fillId="2" borderId="1" xfId="0" applyNumberFormat="1" applyFont="1" applyFill="1" applyBorder="1"/>
    <xf numFmtId="0" fontId="13" fillId="0" borderId="0" xfId="0" applyFont="1"/>
    <xf numFmtId="0" fontId="13" fillId="3" borderId="0" xfId="0" applyFont="1" applyFill="1" applyAlignment="1">
      <alignment horizontal="center"/>
    </xf>
    <xf numFmtId="165" fontId="6" fillId="2" borderId="1" xfId="3" applyNumberFormat="1" applyFont="1" applyFill="1" applyBorder="1"/>
    <xf numFmtId="165" fontId="4" fillId="0" borderId="0" xfId="1" applyNumberFormat="1" applyFont="1" applyFill="1" applyBorder="1" applyAlignment="1">
      <alignment horizontal="right"/>
    </xf>
    <xf numFmtId="165" fontId="4" fillId="0" borderId="0" xfId="1" applyNumberFormat="1" applyFont="1"/>
    <xf numFmtId="0" fontId="2" fillId="0" borderId="1" xfId="0" applyFont="1" applyBorder="1"/>
    <xf numFmtId="41" fontId="4" fillId="0" borderId="1" xfId="0" applyNumberFormat="1" applyFont="1" applyBorder="1"/>
    <xf numFmtId="165" fontId="7" fillId="0" borderId="1" xfId="1" applyNumberFormat="1" applyFont="1" applyBorder="1" applyAlignment="1">
      <alignment horizontal="right"/>
    </xf>
    <xf numFmtId="165" fontId="2" fillId="0" borderId="3" xfId="1" applyNumberFormat="1" applyFont="1" applyBorder="1" applyAlignment="1">
      <alignment horizontal="left"/>
    </xf>
    <xf numFmtId="165" fontId="7" fillId="0" borderId="1" xfId="1" applyNumberFormat="1" applyFont="1" applyBorder="1"/>
    <xf numFmtId="41" fontId="7" fillId="0" borderId="1" xfId="0" applyNumberFormat="1" applyFont="1" applyBorder="1"/>
    <xf numFmtId="165" fontId="2" fillId="2" borderId="1" xfId="1" applyNumberFormat="1" applyFont="1" applyFill="1" applyBorder="1"/>
    <xf numFmtId="165" fontId="15" fillId="2" borderId="1" xfId="1" applyNumberFormat="1" applyFont="1" applyFill="1" applyBorder="1"/>
    <xf numFmtId="0" fontId="2" fillId="0" borderId="4" xfId="0" applyFont="1" applyBorder="1"/>
    <xf numFmtId="0" fontId="2" fillId="0" borderId="5" xfId="0" applyFont="1" applyBorder="1"/>
    <xf numFmtId="0" fontId="8" fillId="0" borderId="1" xfId="0" applyFont="1" applyBorder="1" applyAlignment="1">
      <alignment horizontal="left" vertical="top"/>
    </xf>
    <xf numFmtId="165" fontId="7" fillId="2" borderId="1" xfId="1" applyNumberFormat="1" applyFont="1" applyFill="1" applyBorder="1" applyAlignment="1">
      <alignment horizontal="right"/>
    </xf>
    <xf numFmtId="165" fontId="8" fillId="0" borderId="1" xfId="1" applyNumberFormat="1" applyFont="1" applyBorder="1" applyAlignment="1">
      <alignment horizontal="right"/>
    </xf>
    <xf numFmtId="165" fontId="2" fillId="0" borderId="1" xfId="1" applyNumberFormat="1" applyFont="1" applyBorder="1" applyAlignment="1">
      <alignment horizontal="right"/>
    </xf>
    <xf numFmtId="0" fontId="8" fillId="3" borderId="1" xfId="0" applyFont="1" applyFill="1" applyBorder="1"/>
    <xf numFmtId="0" fontId="8" fillId="3" borderId="1" xfId="0" applyFont="1" applyFill="1" applyBorder="1" applyAlignment="1">
      <alignment wrapText="1"/>
    </xf>
    <xf numFmtId="165" fontId="11" fillId="0" borderId="1" xfId="1" applyNumberFormat="1" applyFont="1" applyFill="1" applyBorder="1" applyAlignment="1">
      <alignment wrapText="1"/>
    </xf>
    <xf numFmtId="0" fontId="2" fillId="3" borderId="1" xfId="0" applyFont="1" applyFill="1" applyBorder="1"/>
    <xf numFmtId="165" fontId="11" fillId="3" borderId="1" xfId="1" applyNumberFormat="1" applyFont="1" applyFill="1" applyBorder="1"/>
    <xf numFmtId="165" fontId="6" fillId="0" borderId="1" xfId="1" applyNumberFormat="1" applyFont="1" applyBorder="1"/>
    <xf numFmtId="165" fontId="7" fillId="0" borderId="1" xfId="1" applyNumberFormat="1" applyFont="1" applyFill="1" applyBorder="1"/>
    <xf numFmtId="165" fontId="6" fillId="0" borderId="1" xfId="1" applyNumberFormat="1" applyFont="1" applyFill="1" applyBorder="1"/>
    <xf numFmtId="165" fontId="7" fillId="0" borderId="1" xfId="1" applyNumberFormat="1" applyFont="1" applyFill="1" applyBorder="1" applyAlignment="1">
      <alignment horizontal="right"/>
    </xf>
    <xf numFmtId="165" fontId="2" fillId="0" borderId="1" xfId="1" applyNumberFormat="1" applyFont="1" applyBorder="1"/>
    <xf numFmtId="165" fontId="15" fillId="0" borderId="3" xfId="1" applyNumberFormat="1" applyFont="1" applyBorder="1" applyAlignment="1">
      <alignment horizontal="left"/>
    </xf>
    <xf numFmtId="165" fontId="4" fillId="0" borderId="0" xfId="1" applyNumberFormat="1" applyFont="1" applyFill="1" applyBorder="1"/>
    <xf numFmtId="0" fontId="8" fillId="0" borderId="1" xfId="0" applyFont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left"/>
    </xf>
    <xf numFmtId="165" fontId="11" fillId="0" borderId="0" xfId="1" applyNumberFormat="1" applyFont="1" applyFill="1" applyBorder="1"/>
    <xf numFmtId="0" fontId="2" fillId="0" borderId="1" xfId="0" applyFont="1" applyBorder="1" applyAlignment="1">
      <alignment horizontal="left" vertical="center"/>
    </xf>
    <xf numFmtId="165" fontId="2" fillId="0" borderId="0" xfId="1" applyNumberFormat="1" applyFont="1" applyFill="1" applyBorder="1"/>
    <xf numFmtId="165" fontId="2" fillId="2" borderId="3" xfId="1" applyNumberFormat="1" applyFont="1" applyFill="1" applyBorder="1"/>
    <xf numFmtId="165" fontId="4" fillId="3" borderId="1" xfId="1" applyNumberFormat="1" applyFont="1" applyFill="1" applyBorder="1"/>
    <xf numFmtId="41" fontId="11" fillId="0" borderId="1" xfId="0" applyNumberFormat="1" applyFont="1" applyBorder="1"/>
    <xf numFmtId="41" fontId="11" fillId="0" borderId="1" xfId="0" applyNumberFormat="1" applyFont="1" applyBorder="1" applyAlignment="1">
      <alignment horizontal="center"/>
    </xf>
    <xf numFmtId="165" fontId="2" fillId="0" borderId="1" xfId="1" applyNumberFormat="1" applyFont="1" applyBorder="1" applyAlignment="1">
      <alignment horizontal="left"/>
    </xf>
    <xf numFmtId="165" fontId="15" fillId="0" borderId="1" xfId="1" applyNumberFormat="1" applyFont="1" applyBorder="1" applyAlignment="1">
      <alignment horizontal="left"/>
    </xf>
    <xf numFmtId="165" fontId="15" fillId="0" borderId="1" xfId="1" applyNumberFormat="1" applyFont="1" applyFill="1" applyBorder="1" applyAlignment="1">
      <alignment horizontal="left"/>
    </xf>
    <xf numFmtId="0" fontId="0" fillId="0" borderId="1" xfId="0" applyBorder="1"/>
    <xf numFmtId="41" fontId="4" fillId="3" borderId="1" xfId="0" applyNumberFormat="1" applyFont="1" applyFill="1" applyBorder="1"/>
    <xf numFmtId="165" fontId="6" fillId="0" borderId="1" xfId="1" applyNumberFormat="1" applyFont="1" applyBorder="1" applyAlignment="1">
      <alignment horizontal="left"/>
    </xf>
    <xf numFmtId="165" fontId="7" fillId="0" borderId="1" xfId="1" applyNumberFormat="1" applyFont="1" applyFill="1" applyBorder="1" applyAlignment="1">
      <alignment horizontal="left"/>
    </xf>
    <xf numFmtId="165" fontId="6" fillId="2" borderId="1" xfId="1" applyNumberFormat="1" applyFont="1" applyFill="1" applyBorder="1" applyAlignment="1"/>
    <xf numFmtId="165" fontId="3" fillId="0" borderId="0" xfId="1" applyNumberFormat="1" applyFont="1"/>
    <xf numFmtId="41" fontId="4" fillId="0" borderId="1" xfId="1" applyNumberFormat="1" applyFont="1" applyFill="1" applyBorder="1"/>
    <xf numFmtId="165" fontId="8" fillId="0" borderId="1" xfId="1" applyNumberFormat="1" applyFont="1" applyBorder="1" applyAlignment="1">
      <alignment horizontal="center"/>
    </xf>
    <xf numFmtId="165" fontId="15" fillId="0" borderId="1" xfId="1" applyNumberFormat="1" applyFont="1" applyBorder="1"/>
    <xf numFmtId="165" fontId="4" fillId="0" borderId="0" xfId="1" applyNumberFormat="1" applyFont="1" applyFill="1"/>
    <xf numFmtId="165" fontId="15" fillId="0" borderId="1" xfId="1" applyNumberFormat="1" applyFont="1" applyFill="1" applyBorder="1"/>
    <xf numFmtId="165" fontId="12" fillId="0" borderId="3" xfId="1" applyNumberFormat="1" applyFont="1" applyBorder="1" applyAlignment="1">
      <alignment horizontal="right"/>
    </xf>
    <xf numFmtId="165" fontId="2" fillId="0" borderId="3" xfId="1" applyNumberFormat="1" applyFont="1" applyBorder="1" applyAlignment="1">
      <alignment horizontal="right"/>
    </xf>
    <xf numFmtId="165" fontId="2" fillId="0" borderId="1" xfId="1" applyNumberFormat="1" applyFont="1" applyBorder="1" applyAlignment="1">
      <alignment horizontal="center"/>
    </xf>
    <xf numFmtId="165" fontId="2" fillId="0" borderId="8" xfId="1" applyNumberFormat="1" applyFont="1" applyBorder="1"/>
    <xf numFmtId="165" fontId="11" fillId="0" borderId="1" xfId="1" applyNumberFormat="1" applyFont="1" applyBorder="1" applyAlignment="1"/>
    <xf numFmtId="165" fontId="11" fillId="0" borderId="1" xfId="1" applyNumberFormat="1" applyFont="1" applyFill="1" applyBorder="1" applyAlignment="1"/>
    <xf numFmtId="165" fontId="11" fillId="0" borderId="1" xfId="1" applyNumberFormat="1" applyFont="1" applyBorder="1" applyAlignment="1">
      <alignment horizontal="center"/>
    </xf>
    <xf numFmtId="0" fontId="2" fillId="0" borderId="2" xfId="0" applyFont="1" applyBorder="1"/>
    <xf numFmtId="0" fontId="2" fillId="0" borderId="6" xfId="0" applyFont="1" applyBorder="1"/>
    <xf numFmtId="165" fontId="6" fillId="0" borderId="6" xfId="1" applyNumberFormat="1" applyFont="1" applyFill="1" applyBorder="1"/>
    <xf numFmtId="0" fontId="8" fillId="2" borderId="6" xfId="0" applyFont="1" applyFill="1" applyBorder="1"/>
    <xf numFmtId="165" fontId="6" fillId="0" borderId="0" xfId="1" applyNumberFormat="1" applyFont="1"/>
    <xf numFmtId="165" fontId="6" fillId="0" borderId="0" xfId="3" applyNumberFormat="1" applyFont="1" applyFill="1" applyBorder="1"/>
    <xf numFmtId="165" fontId="7" fillId="0" borderId="0" xfId="3" applyNumberFormat="1" applyFont="1" applyFill="1" applyBorder="1"/>
    <xf numFmtId="165" fontId="11" fillId="0" borderId="0" xfId="3" applyNumberFormat="1" applyFont="1" applyFill="1" applyBorder="1"/>
    <xf numFmtId="165" fontId="4" fillId="0" borderId="0" xfId="3" applyNumberFormat="1" applyFont="1" applyFill="1" applyBorder="1"/>
    <xf numFmtId="165" fontId="6" fillId="2" borderId="1" xfId="1" applyNumberFormat="1" applyFont="1" applyFill="1" applyBorder="1" applyAlignment="1">
      <alignment horizontal="center"/>
    </xf>
    <xf numFmtId="165" fontId="6" fillId="0" borderId="0" xfId="3" applyNumberFormat="1" applyFont="1" applyFill="1" applyBorder="1" applyAlignment="1">
      <alignment horizontal="center"/>
    </xf>
    <xf numFmtId="166" fontId="2" fillId="2" borderId="1" xfId="0" applyNumberFormat="1" applyFont="1" applyFill="1" applyBorder="1"/>
    <xf numFmtId="165" fontId="6" fillId="0" borderId="1" xfId="1" applyNumberFormat="1" applyFont="1" applyBorder="1" applyAlignment="1">
      <alignment horizontal="right"/>
    </xf>
    <xf numFmtId="165" fontId="6" fillId="0" borderId="1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165" fontId="6" fillId="2" borderId="1" xfId="1" applyNumberFormat="1" applyFont="1" applyFill="1" applyBorder="1" applyAlignment="1">
      <alignment horizontal="right"/>
    </xf>
    <xf numFmtId="165" fontId="6" fillId="2" borderId="1" xfId="4" applyNumberFormat="1" applyFont="1" applyFill="1" applyBorder="1"/>
    <xf numFmtId="165" fontId="6" fillId="0" borderId="0" xfId="4" applyNumberFormat="1" applyFont="1" applyFill="1" applyBorder="1"/>
    <xf numFmtId="165" fontId="6" fillId="0" borderId="1" xfId="1" applyNumberFormat="1" applyFont="1" applyFill="1" applyBorder="1" applyAlignment="1">
      <alignment horizontal="left"/>
    </xf>
    <xf numFmtId="0" fontId="6" fillId="0" borderId="1" xfId="0" applyFont="1" applyBorder="1"/>
    <xf numFmtId="165" fontId="8" fillId="0" borderId="3" xfId="1" applyNumberFormat="1" applyFont="1" applyFill="1" applyBorder="1" applyAlignment="1">
      <alignment horizontal="left"/>
    </xf>
    <xf numFmtId="165" fontId="2" fillId="0" borderId="0" xfId="1" applyNumberFormat="1" applyFont="1" applyFill="1" applyBorder="1" applyAlignment="1">
      <alignment horizontal="right"/>
    </xf>
    <xf numFmtId="165" fontId="11" fillId="0" borderId="1" xfId="1" applyNumberFormat="1" applyFont="1" applyFill="1" applyBorder="1" applyAlignment="1">
      <alignment horizontal="center"/>
    </xf>
    <xf numFmtId="165" fontId="3" fillId="0" borderId="1" xfId="1" applyNumberFormat="1" applyFont="1" applyFill="1" applyBorder="1"/>
    <xf numFmtId="0" fontId="8" fillId="3" borderId="0" xfId="0" applyFont="1" applyFill="1" applyAlignment="1">
      <alignment horizontal="left"/>
    </xf>
    <xf numFmtId="0" fontId="18" fillId="0" borderId="0" xfId="0" applyFont="1"/>
    <xf numFmtId="0" fontId="18" fillId="0" borderId="1" xfId="0" applyFont="1" applyBorder="1"/>
    <xf numFmtId="166" fontId="2" fillId="2" borderId="1" xfId="1" applyNumberFormat="1" applyFont="1" applyFill="1" applyBorder="1" applyAlignment="1"/>
    <xf numFmtId="0" fontId="6" fillId="2" borderId="1" xfId="0" applyFont="1" applyFill="1" applyBorder="1"/>
    <xf numFmtId="0" fontId="8" fillId="0" borderId="5" xfId="0" applyFont="1" applyBorder="1"/>
    <xf numFmtId="0" fontId="2" fillId="0" borderId="3" xfId="0" applyFont="1" applyBorder="1"/>
    <xf numFmtId="0" fontId="2" fillId="2" borderId="1" xfId="0" applyFont="1" applyFill="1" applyBorder="1"/>
    <xf numFmtId="0" fontId="8" fillId="3" borderId="2" xfId="0" applyFont="1" applyFill="1" applyBorder="1"/>
    <xf numFmtId="0" fontId="4" fillId="0" borderId="1" xfId="0" applyFont="1" applyBorder="1" applyProtection="1">
      <protection locked="0"/>
    </xf>
    <xf numFmtId="0" fontId="8" fillId="2" borderId="1" xfId="0" applyFont="1" applyFill="1" applyBorder="1"/>
    <xf numFmtId="0" fontId="6" fillId="0" borderId="2" xfId="0" applyFont="1" applyBorder="1"/>
    <xf numFmtId="0" fontId="6" fillId="0" borderId="6" xfId="0" applyFont="1" applyBorder="1"/>
    <xf numFmtId="0" fontId="6" fillId="0" borderId="3" xfId="0" applyFont="1" applyBorder="1"/>
    <xf numFmtId="0" fontId="6" fillId="2" borderId="2" xfId="0" applyFont="1" applyFill="1" applyBorder="1"/>
    <xf numFmtId="0" fontId="6" fillId="2" borderId="6" xfId="0" applyFont="1" applyFill="1" applyBorder="1"/>
    <xf numFmtId="0" fontId="8" fillId="0" borderId="4" xfId="0" applyFont="1" applyBorder="1"/>
    <xf numFmtId="0" fontId="2" fillId="0" borderId="2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1" fillId="0" borderId="2" xfId="0" applyFont="1" applyBorder="1"/>
    <xf numFmtId="0" fontId="14" fillId="0" borderId="2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165" fontId="11" fillId="0" borderId="10" xfId="1" applyNumberFormat="1" applyFont="1" applyFill="1" applyBorder="1"/>
    <xf numFmtId="165" fontId="11" fillId="0" borderId="0" xfId="1" applyNumberFormat="1" applyFont="1" applyFill="1" applyAlignment="1">
      <alignment horizontal="right"/>
    </xf>
    <xf numFmtId="0" fontId="6" fillId="0" borderId="1" xfId="0" applyFont="1" applyBorder="1" applyAlignment="1">
      <alignment horizontal="center" wrapText="1"/>
    </xf>
    <xf numFmtId="165" fontId="10" fillId="0" borderId="1" xfId="1" applyNumberFormat="1" applyFont="1" applyBorder="1" applyAlignment="1">
      <alignment vertical="center"/>
    </xf>
    <xf numFmtId="165" fontId="6" fillId="2" borderId="1" xfId="1" applyNumberFormat="1" applyFont="1" applyFill="1" applyBorder="1" applyAlignment="1">
      <alignment vertical="center"/>
    </xf>
    <xf numFmtId="165" fontId="18" fillId="0" borderId="0" xfId="0" applyNumberFormat="1" applyFont="1"/>
    <xf numFmtId="165" fontId="11" fillId="0" borderId="1" xfId="2" applyNumberFormat="1" applyFont="1" applyBorder="1"/>
    <xf numFmtId="165" fontId="11" fillId="0" borderId="0" xfId="1" applyNumberFormat="1" applyFont="1" applyFill="1" applyBorder="1" applyAlignment="1">
      <alignment horizontal="right"/>
    </xf>
    <xf numFmtId="165" fontId="11" fillId="0" borderId="0" xfId="1" applyNumberFormat="1" applyFont="1"/>
    <xf numFmtId="41" fontId="6" fillId="0" borderId="1" xfId="0" applyNumberFormat="1" applyFont="1" applyBorder="1"/>
    <xf numFmtId="165" fontId="11" fillId="0" borderId="0" xfId="1" applyNumberFormat="1" applyFont="1" applyFill="1"/>
    <xf numFmtId="165" fontId="2" fillId="0" borderId="1" xfId="1" applyNumberFormat="1" applyFont="1" applyFill="1" applyBorder="1" applyAlignment="1">
      <alignment horizontal="left"/>
    </xf>
    <xf numFmtId="41" fontId="11" fillId="3" borderId="1" xfId="0" applyNumberFormat="1" applyFont="1" applyFill="1" applyBorder="1"/>
    <xf numFmtId="41" fontId="11" fillId="0" borderId="1" xfId="1" applyNumberFormat="1" applyFont="1" applyFill="1" applyBorder="1"/>
    <xf numFmtId="165" fontId="2" fillId="0" borderId="1" xfId="1" applyNumberFormat="1" applyFont="1" applyFill="1" applyBorder="1"/>
    <xf numFmtId="165" fontId="8" fillId="0" borderId="3" xfId="1" applyNumberFormat="1" applyFont="1" applyBorder="1" applyAlignment="1">
      <alignment horizontal="right"/>
    </xf>
    <xf numFmtId="0" fontId="6" fillId="0" borderId="3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1" fillId="0" borderId="4" xfId="0" applyFont="1" applyBorder="1" applyAlignment="1">
      <alignment horizontal="center"/>
    </xf>
    <xf numFmtId="165" fontId="20" fillId="0" borderId="1" xfId="1" applyNumberFormat="1" applyFont="1" applyFill="1" applyBorder="1"/>
    <xf numFmtId="165" fontId="11" fillId="3" borderId="1" xfId="1" applyNumberFormat="1" applyFont="1" applyFill="1" applyBorder="1" applyAlignment="1">
      <alignment vertical="center"/>
    </xf>
    <xf numFmtId="165" fontId="11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/>
    </xf>
    <xf numFmtId="0" fontId="8" fillId="3" borderId="1" xfId="0" applyFont="1" applyFill="1" applyBorder="1" applyAlignment="1">
      <alignment horizontal="left"/>
    </xf>
    <xf numFmtId="165" fontId="6" fillId="3" borderId="1" xfId="1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left"/>
    </xf>
    <xf numFmtId="165" fontId="6" fillId="0" borderId="1" xfId="1" applyNumberFormat="1" applyFont="1" applyBorder="1" applyAlignment="1">
      <alignment horizontal="center"/>
    </xf>
    <xf numFmtId="0" fontId="8" fillId="0" borderId="1" xfId="0" applyFont="1" applyBorder="1" applyAlignment="1">
      <alignment vertical="center"/>
    </xf>
    <xf numFmtId="165" fontId="2" fillId="0" borderId="1" xfId="1" applyNumberFormat="1" applyFont="1" applyFill="1" applyBorder="1" applyAlignment="1">
      <alignment horizontal="right"/>
    </xf>
    <xf numFmtId="1" fontId="8" fillId="0" borderId="1" xfId="1" applyNumberFormat="1" applyFont="1" applyFill="1" applyBorder="1" applyAlignment="1">
      <alignment horizontal="right"/>
    </xf>
    <xf numFmtId="1" fontId="2" fillId="0" borderId="1" xfId="1" applyNumberFormat="1" applyFont="1" applyBorder="1" applyAlignment="1">
      <alignment horizontal="right"/>
    </xf>
    <xf numFmtId="0" fontId="8" fillId="0" borderId="1" xfId="0" applyFont="1" applyBorder="1" applyAlignment="1">
      <alignment wrapText="1"/>
    </xf>
    <xf numFmtId="166" fontId="2" fillId="2" borderId="1" xfId="0" applyNumberFormat="1" applyFont="1" applyFill="1" applyBorder="1" applyAlignment="1">
      <alignment horizontal="right"/>
    </xf>
    <xf numFmtId="41" fontId="4" fillId="3" borderId="1" xfId="0" applyNumberFormat="1" applyFont="1" applyFill="1" applyBorder="1" applyAlignment="1">
      <alignment horizontal="center"/>
    </xf>
    <xf numFmtId="41" fontId="4" fillId="0" borderId="1" xfId="0" applyNumberFormat="1" applyFont="1" applyBorder="1" applyAlignment="1">
      <alignment horizontal="center"/>
    </xf>
    <xf numFmtId="0" fontId="21" fillId="0" borderId="1" xfId="0" applyFont="1" applyBorder="1"/>
    <xf numFmtId="0" fontId="7" fillId="0" borderId="1" xfId="0" applyFont="1" applyBorder="1" applyProtection="1">
      <protection locked="0"/>
    </xf>
    <xf numFmtId="165" fontId="8" fillId="0" borderId="1" xfId="1" applyNumberFormat="1" applyFont="1" applyFill="1" applyBorder="1" applyAlignment="1">
      <alignment horizontal="center"/>
    </xf>
    <xf numFmtId="0" fontId="18" fillId="3" borderId="1" xfId="0" applyFont="1" applyFill="1" applyBorder="1"/>
    <xf numFmtId="37" fontId="7" fillId="0" borderId="1" xfId="0" applyNumberFormat="1" applyFont="1" applyBorder="1"/>
    <xf numFmtId="165" fontId="2" fillId="3" borderId="1" xfId="1" applyNumberFormat="1" applyFont="1" applyFill="1" applyBorder="1"/>
    <xf numFmtId="41" fontId="20" fillId="0" borderId="1" xfId="0" applyNumberFormat="1" applyFont="1" applyBorder="1"/>
    <xf numFmtId="0" fontId="22" fillId="0" borderId="1" xfId="0" applyFont="1" applyBorder="1"/>
    <xf numFmtId="0" fontId="2" fillId="0" borderId="3" xfId="0" applyFont="1" applyBorder="1" applyAlignment="1">
      <alignment horizontal="center"/>
    </xf>
    <xf numFmtId="41" fontId="11" fillId="0" borderId="8" xfId="0" applyNumberFormat="1" applyFont="1" applyBorder="1"/>
    <xf numFmtId="165" fontId="2" fillId="0" borderId="3" xfId="1" applyNumberFormat="1" applyFont="1" applyFill="1" applyBorder="1" applyAlignment="1">
      <alignment horizontal="left"/>
    </xf>
    <xf numFmtId="41" fontId="11" fillId="3" borderId="8" xfId="0" applyNumberFormat="1" applyFont="1" applyFill="1" applyBorder="1" applyAlignment="1">
      <alignment horizontal="center"/>
    </xf>
    <xf numFmtId="41" fontId="11" fillId="0" borderId="8" xfId="0" applyNumberFormat="1" applyFont="1" applyBorder="1" applyAlignment="1">
      <alignment horizontal="center"/>
    </xf>
    <xf numFmtId="165" fontId="22" fillId="0" borderId="0" xfId="0" applyNumberFormat="1" applyFont="1"/>
    <xf numFmtId="37" fontId="6" fillId="3" borderId="1" xfId="0" applyNumberFormat="1" applyFont="1" applyFill="1" applyBorder="1"/>
    <xf numFmtId="0" fontId="2" fillId="0" borderId="1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165" fontId="2" fillId="2" borderId="1" xfId="0" applyNumberFormat="1" applyFont="1" applyFill="1" applyBorder="1" applyAlignment="1">
      <alignment horizontal="left"/>
    </xf>
    <xf numFmtId="1" fontId="4" fillId="0" borderId="1" xfId="1" applyNumberFormat="1" applyFont="1" applyBorder="1"/>
    <xf numFmtId="1" fontId="6" fillId="2" borderId="1" xfId="0" applyNumberFormat="1" applyFont="1" applyFill="1" applyBorder="1"/>
    <xf numFmtId="0" fontId="5" fillId="3" borderId="0" xfId="0" applyFont="1" applyFill="1" applyAlignment="1">
      <alignment horizontal="center"/>
    </xf>
    <xf numFmtId="14" fontId="6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8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/>
    </xf>
    <xf numFmtId="165" fontId="7" fillId="3" borderId="1" xfId="1" applyNumberFormat="1" applyFont="1" applyFill="1" applyBorder="1"/>
    <xf numFmtId="0" fontId="0" fillId="3" borderId="0" xfId="0" applyFill="1"/>
    <xf numFmtId="0" fontId="13" fillId="3" borderId="0" xfId="0" applyFont="1" applyFill="1" applyAlignment="1">
      <alignment horizontal="left"/>
    </xf>
    <xf numFmtId="0" fontId="0" fillId="3" borderId="1" xfId="0" applyFill="1" applyBorder="1"/>
    <xf numFmtId="1" fontId="8" fillId="0" borderId="1" xfId="1" applyNumberFormat="1" applyFont="1" applyBorder="1" applyAlignment="1">
      <alignment horizontal="right"/>
    </xf>
    <xf numFmtId="165" fontId="4" fillId="0" borderId="3" xfId="1" applyNumberFormat="1" applyFont="1" applyFill="1" applyBorder="1"/>
    <xf numFmtId="0" fontId="8" fillId="0" borderId="2" xfId="0" applyFont="1" applyBorder="1" applyAlignment="1">
      <alignment horizontal="left" vertical="center"/>
    </xf>
    <xf numFmtId="41" fontId="4" fillId="0" borderId="8" xfId="0" applyNumberFormat="1" applyFont="1" applyBorder="1"/>
    <xf numFmtId="41" fontId="11" fillId="0" borderId="11" xfId="0" applyNumberFormat="1" applyFont="1" applyBorder="1"/>
    <xf numFmtId="165" fontId="7" fillId="0" borderId="1" xfId="1" applyNumberFormat="1" applyFont="1" applyBorder="1" applyAlignment="1">
      <alignment horizontal="left"/>
    </xf>
    <xf numFmtId="41" fontId="4" fillId="3" borderId="8" xfId="0" applyNumberFormat="1" applyFont="1" applyFill="1" applyBorder="1" applyAlignment="1">
      <alignment horizontal="center"/>
    </xf>
    <xf numFmtId="41" fontId="4" fillId="0" borderId="8" xfId="0" applyNumberFormat="1" applyFont="1" applyBorder="1" applyAlignment="1">
      <alignment horizontal="center"/>
    </xf>
    <xf numFmtId="165" fontId="6" fillId="0" borderId="3" xfId="1" applyNumberFormat="1" applyFont="1" applyBorder="1" applyAlignment="1">
      <alignment horizontal="left"/>
    </xf>
    <xf numFmtId="165" fontId="4" fillId="3" borderId="3" xfId="1" applyNumberFormat="1" applyFont="1" applyFill="1" applyBorder="1"/>
    <xf numFmtId="0" fontId="4" fillId="0" borderId="1" xfId="1" applyNumberFormat="1" applyFont="1" applyFill="1" applyBorder="1"/>
    <xf numFmtId="165" fontId="2" fillId="2" borderId="2" xfId="1" applyNumberFormat="1" applyFont="1" applyFill="1" applyBorder="1"/>
    <xf numFmtId="1" fontId="8" fillId="0" borderId="3" xfId="1" applyNumberFormat="1" applyFont="1" applyBorder="1" applyAlignment="1">
      <alignment horizontal="right"/>
    </xf>
    <xf numFmtId="1" fontId="2" fillId="0" borderId="3" xfId="1" applyNumberFormat="1" applyFont="1" applyBorder="1" applyAlignment="1">
      <alignment horizontal="right"/>
    </xf>
    <xf numFmtId="165" fontId="8" fillId="0" borderId="8" xfId="1" applyNumberFormat="1" applyFont="1" applyBorder="1"/>
    <xf numFmtId="166" fontId="2" fillId="2" borderId="1" xfId="0" applyNumberFormat="1" applyFont="1" applyFill="1" applyBorder="1" applyAlignment="1">
      <alignment horizontal="center"/>
    </xf>
    <xf numFmtId="1" fontId="7" fillId="0" borderId="1" xfId="1" applyNumberFormat="1" applyFont="1" applyFill="1" applyBorder="1"/>
    <xf numFmtId="1" fontId="6" fillId="2" borderId="1" xfId="1" applyNumberFormat="1" applyFont="1" applyFill="1" applyBorder="1"/>
    <xf numFmtId="165" fontId="6" fillId="2" borderId="2" xfId="1" applyNumberFormat="1" applyFont="1" applyFill="1" applyBorder="1" applyAlignment="1">
      <alignment horizontal="right"/>
    </xf>
    <xf numFmtId="41" fontId="11" fillId="0" borderId="3" xfId="0" applyNumberFormat="1" applyFont="1" applyBorder="1"/>
    <xf numFmtId="165" fontId="23" fillId="3" borderId="1" xfId="1" applyNumberFormat="1" applyFont="1" applyFill="1" applyBorder="1"/>
    <xf numFmtId="0" fontId="21" fillId="0" borderId="0" xfId="0" applyFont="1"/>
    <xf numFmtId="0" fontId="21" fillId="0" borderId="5" xfId="0" applyFont="1" applyBorder="1"/>
    <xf numFmtId="0" fontId="2" fillId="2" borderId="0" xfId="0" applyFont="1" applyFill="1"/>
    <xf numFmtId="165" fontId="21" fillId="0" borderId="0" xfId="0" applyNumberFormat="1" applyFont="1"/>
    <xf numFmtId="41" fontId="21" fillId="0" borderId="0" xfId="0" applyNumberFormat="1" applyFont="1"/>
    <xf numFmtId="41" fontId="24" fillId="0" borderId="0" xfId="0" applyNumberFormat="1" applyFont="1"/>
    <xf numFmtId="0" fontId="22" fillId="0" borderId="0" xfId="0" applyFont="1"/>
    <xf numFmtId="0" fontId="21" fillId="0" borderId="0" xfId="0" applyFont="1" applyAlignment="1">
      <alignment wrapText="1"/>
    </xf>
    <xf numFmtId="165" fontId="25" fillId="0" borderId="0" xfId="0" applyNumberFormat="1" applyFont="1"/>
    <xf numFmtId="0" fontId="25" fillId="0" borderId="0" xfId="0" applyFont="1"/>
    <xf numFmtId="0" fontId="21" fillId="0" borderId="4" xfId="0" applyFont="1" applyBorder="1"/>
    <xf numFmtId="0" fontId="2" fillId="2" borderId="9" xfId="0" applyFont="1" applyFill="1" applyBorder="1"/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165" fontId="21" fillId="0" borderId="0" xfId="1" applyNumberFormat="1" applyFont="1" applyFill="1" applyBorder="1"/>
    <xf numFmtId="0" fontId="15" fillId="2" borderId="0" xfId="0" applyFont="1" applyFill="1"/>
    <xf numFmtId="0" fontId="8" fillId="0" borderId="6" xfId="0" applyFont="1" applyBorder="1"/>
    <xf numFmtId="37" fontId="6" fillId="0" borderId="1" xfId="0" applyNumberFormat="1" applyFont="1" applyBorder="1"/>
    <xf numFmtId="0" fontId="11" fillId="3" borderId="1" xfId="0" applyFont="1" applyFill="1" applyBorder="1"/>
    <xf numFmtId="0" fontId="5" fillId="2" borderId="0" xfId="0" applyFont="1" applyFill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/>
    </xf>
    <xf numFmtId="49" fontId="7" fillId="0" borderId="6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/>
    <xf numFmtId="0" fontId="6" fillId="0" borderId="2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/>
    <xf numFmtId="165" fontId="4" fillId="0" borderId="8" xfId="1" applyNumberFormat="1" applyFont="1" applyFill="1" applyBorder="1" applyAlignment="1">
      <alignment horizontal="center" vertical="center"/>
    </xf>
    <xf numFmtId="165" fontId="4" fillId="0" borderId="10" xfId="1" applyNumberFormat="1" applyFont="1" applyFill="1" applyBorder="1" applyAlignment="1">
      <alignment horizontal="center" vertical="center"/>
    </xf>
    <xf numFmtId="165" fontId="4" fillId="0" borderId="7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4" fillId="0" borderId="1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2" fillId="2" borderId="2" xfId="0" applyFont="1" applyFill="1" applyBorder="1"/>
    <xf numFmtId="0" fontId="2" fillId="2" borderId="6" xfId="0" applyFont="1" applyFill="1" applyBorder="1"/>
    <xf numFmtId="0" fontId="8" fillId="3" borderId="8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165" fontId="11" fillId="0" borderId="0" xfId="3" applyNumberFormat="1" applyFont="1" applyFill="1" applyBorder="1" applyAlignment="1">
      <alignment horizontal="center"/>
    </xf>
    <xf numFmtId="0" fontId="8" fillId="0" borderId="1" xfId="0" applyFont="1" applyBorder="1"/>
    <xf numFmtId="165" fontId="11" fillId="3" borderId="8" xfId="1" applyNumberFormat="1" applyFont="1" applyFill="1" applyBorder="1" applyAlignment="1">
      <alignment horizontal="center" vertical="center"/>
    </xf>
    <xf numFmtId="165" fontId="11" fillId="3" borderId="7" xfId="1" applyNumberFormat="1" applyFont="1" applyFill="1" applyBorder="1" applyAlignment="1">
      <alignment horizontal="center" vertical="center"/>
    </xf>
    <xf numFmtId="41" fontId="4" fillId="0" borderId="1" xfId="0" applyNumberFormat="1" applyFont="1" applyFill="1" applyBorder="1"/>
    <xf numFmtId="41" fontId="11" fillId="0" borderId="1" xfId="0" applyNumberFormat="1" applyFont="1" applyFill="1" applyBorder="1"/>
  </cellXfs>
  <cellStyles count="6">
    <cellStyle name="Ezres" xfId="1" builtinId="3"/>
    <cellStyle name="Ezres 2" xfId="5" xr:uid="{00000000-0005-0000-0000-000001000000}"/>
    <cellStyle name="Ezres 3 2 2" xfId="3" xr:uid="{00000000-0005-0000-0000-000002000000}"/>
    <cellStyle name="Ezres 4" xfId="2" xr:uid="{00000000-0005-0000-0000-000003000000}"/>
    <cellStyle name="Ezres 5" xfId="4" xr:uid="{00000000-0005-0000-0000-000004000000}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E235"/>
  <sheetViews>
    <sheetView topLeftCell="A202" zoomScale="120" zoomScaleNormal="120" workbookViewId="0">
      <selection sqref="A1:E213"/>
    </sheetView>
  </sheetViews>
  <sheetFormatPr defaultColWidth="9.140625" defaultRowHeight="15" x14ac:dyDescent="0.25"/>
  <cols>
    <col min="2" max="2" width="76.42578125" customWidth="1"/>
    <col min="3" max="3" width="18.85546875" style="235" customWidth="1"/>
    <col min="4" max="4" width="21" style="142" customWidth="1"/>
    <col min="5" max="5" width="21" customWidth="1"/>
  </cols>
  <sheetData>
    <row r="1" spans="1:5" ht="15.75" x14ac:dyDescent="0.25">
      <c r="A1" s="1" t="s">
        <v>0</v>
      </c>
      <c r="C1" s="166"/>
      <c r="E1" s="2" t="s">
        <v>1</v>
      </c>
    </row>
    <row r="2" spans="1:5" ht="15.75" x14ac:dyDescent="0.25">
      <c r="A2" s="1" t="s">
        <v>2</v>
      </c>
      <c r="C2" s="142"/>
    </row>
    <row r="3" spans="1:5" ht="15.75" x14ac:dyDescent="0.25">
      <c r="A3" s="1"/>
      <c r="C3" s="142"/>
    </row>
    <row r="4" spans="1:5" ht="20.25" x14ac:dyDescent="0.3">
      <c r="A4" s="290" t="s">
        <v>369</v>
      </c>
      <c r="B4" s="290"/>
      <c r="C4" s="142"/>
    </row>
    <row r="5" spans="1:5" ht="15.75" x14ac:dyDescent="0.25">
      <c r="B5" s="5"/>
      <c r="C5" s="142"/>
    </row>
    <row r="6" spans="1:5" x14ac:dyDescent="0.25">
      <c r="C6" s="142"/>
    </row>
    <row r="7" spans="1:5" ht="47.25" x14ac:dyDescent="0.25">
      <c r="A7" s="6" t="s">
        <v>3</v>
      </c>
      <c r="B7" s="182" t="s">
        <v>4</v>
      </c>
      <c r="C7" s="228" t="s">
        <v>414</v>
      </c>
      <c r="D7" s="167" t="s">
        <v>411</v>
      </c>
      <c r="E7" s="8" t="s">
        <v>364</v>
      </c>
    </row>
    <row r="8" spans="1:5" ht="15.75" x14ac:dyDescent="0.25">
      <c r="A8" s="1"/>
      <c r="B8" s="183"/>
      <c r="C8" s="142"/>
    </row>
    <row r="9" spans="1:5" ht="15.75" x14ac:dyDescent="0.25">
      <c r="A9" s="1"/>
      <c r="B9" s="11"/>
      <c r="C9" s="142"/>
    </row>
    <row r="10" spans="1:5" ht="20.25" x14ac:dyDescent="0.3">
      <c r="A10" s="278" t="s">
        <v>5</v>
      </c>
      <c r="B10" s="278"/>
      <c r="C10" s="278"/>
      <c r="D10" s="278"/>
      <c r="E10" s="278"/>
    </row>
    <row r="11" spans="1:5" x14ac:dyDescent="0.25">
      <c r="B11" s="12"/>
      <c r="C11" s="142"/>
    </row>
    <row r="12" spans="1:5" x14ac:dyDescent="0.25">
      <c r="B12" s="10"/>
      <c r="C12" s="142"/>
    </row>
    <row r="13" spans="1:5" ht="15.75" x14ac:dyDescent="0.25">
      <c r="A13" s="292" t="s">
        <v>6</v>
      </c>
      <c r="B13" s="292"/>
      <c r="C13" s="233"/>
      <c r="D13" s="143"/>
      <c r="E13" s="99"/>
    </row>
    <row r="14" spans="1:5" ht="15.75" x14ac:dyDescent="0.25">
      <c r="A14" s="14" t="s">
        <v>7</v>
      </c>
      <c r="B14" s="15" t="s">
        <v>501</v>
      </c>
      <c r="C14" s="16">
        <v>2000000</v>
      </c>
      <c r="D14" s="168">
        <v>0</v>
      </c>
      <c r="E14" s="16">
        <v>8000000</v>
      </c>
    </row>
    <row r="15" spans="1:5" ht="15.75" x14ac:dyDescent="0.25">
      <c r="A15" s="14" t="s">
        <v>8</v>
      </c>
      <c r="B15" s="15" t="s">
        <v>9</v>
      </c>
      <c r="C15" s="16">
        <v>540000</v>
      </c>
      <c r="D15" s="168">
        <v>0</v>
      </c>
      <c r="E15" s="16">
        <f>E14*0.27</f>
        <v>2160000</v>
      </c>
    </row>
    <row r="16" spans="1:5" ht="15.75" x14ac:dyDescent="0.25">
      <c r="A16" s="291" t="s">
        <v>10</v>
      </c>
      <c r="B16" s="291"/>
      <c r="C16" s="224">
        <f t="shared" ref="C16" si="0">SUM(C14:C15)</f>
        <v>2540000</v>
      </c>
      <c r="D16" s="169">
        <f t="shared" ref="D16:E16" si="1">SUM(D14:D15)</f>
        <v>0</v>
      </c>
      <c r="E16" s="17">
        <f t="shared" si="1"/>
        <v>10160000</v>
      </c>
    </row>
    <row r="17" spans="1:5" x14ac:dyDescent="0.25">
      <c r="B17" s="9"/>
      <c r="C17" s="142"/>
    </row>
    <row r="18" spans="1:5" x14ac:dyDescent="0.25">
      <c r="B18" s="10"/>
      <c r="C18" s="142"/>
    </row>
    <row r="19" spans="1:5" ht="15.75" x14ac:dyDescent="0.25">
      <c r="A19" s="292" t="s">
        <v>11</v>
      </c>
      <c r="B19" s="292"/>
      <c r="C19" s="143"/>
      <c r="D19" s="143"/>
      <c r="E19" s="99"/>
    </row>
    <row r="20" spans="1:5" ht="15.75" x14ac:dyDescent="0.25">
      <c r="A20" s="14" t="s">
        <v>12</v>
      </c>
      <c r="B20" s="14" t="s">
        <v>502</v>
      </c>
      <c r="C20" s="18">
        <v>0</v>
      </c>
      <c r="D20" s="19">
        <v>5788994</v>
      </c>
      <c r="E20" s="19">
        <v>0</v>
      </c>
    </row>
    <row r="21" spans="1:5" ht="15.75" x14ac:dyDescent="0.25">
      <c r="A21" s="14" t="s">
        <v>14</v>
      </c>
      <c r="B21" s="15" t="s">
        <v>503</v>
      </c>
      <c r="C21" s="19">
        <v>4000000</v>
      </c>
      <c r="D21" s="19">
        <v>3700000</v>
      </c>
      <c r="E21" s="19">
        <v>0</v>
      </c>
    </row>
    <row r="22" spans="1:5" ht="14.45" customHeight="1" x14ac:dyDescent="0.25">
      <c r="A22" s="291" t="s">
        <v>10</v>
      </c>
      <c r="B22" s="291"/>
      <c r="C22" s="224">
        <f>SUM(C20:C21)</f>
        <v>4000000</v>
      </c>
      <c r="D22" s="28">
        <f t="shared" ref="D22:E22" si="2">SUM(D20:D21)</f>
        <v>9488994</v>
      </c>
      <c r="E22" s="22">
        <f t="shared" si="2"/>
        <v>0</v>
      </c>
    </row>
    <row r="23" spans="1:5" ht="15.6" customHeight="1" x14ac:dyDescent="0.25">
      <c r="A23" s="293"/>
      <c r="B23" s="293"/>
      <c r="C23" s="229"/>
    </row>
    <row r="24" spans="1:5" ht="15.6" customHeight="1" x14ac:dyDescent="0.25">
      <c r="A24" s="293"/>
      <c r="B24" s="293"/>
      <c r="C24" s="229"/>
    </row>
    <row r="25" spans="1:5" ht="15.75" x14ac:dyDescent="0.25">
      <c r="A25" s="286" t="s">
        <v>15</v>
      </c>
      <c r="B25" s="286"/>
      <c r="C25" s="230"/>
      <c r="D25" s="143"/>
      <c r="E25" s="99"/>
    </row>
    <row r="26" spans="1:5" ht="15.75" x14ac:dyDescent="0.25">
      <c r="A26" s="14" t="s">
        <v>16</v>
      </c>
      <c r="B26" s="14" t="s">
        <v>418</v>
      </c>
      <c r="C26" s="23">
        <f>129941725+4543522</f>
        <v>134485247</v>
      </c>
      <c r="D26" s="19">
        <v>141425005</v>
      </c>
      <c r="E26" s="19">
        <v>170089235</v>
      </c>
    </row>
    <row r="27" spans="1:5" ht="15.75" x14ac:dyDescent="0.25">
      <c r="A27" s="14" t="s">
        <v>16</v>
      </c>
      <c r="B27" s="14" t="s">
        <v>417</v>
      </c>
      <c r="C27" s="23"/>
      <c r="D27" s="19">
        <v>7339009</v>
      </c>
      <c r="E27" s="19">
        <v>7431098</v>
      </c>
    </row>
    <row r="28" spans="1:5" ht="15.75" x14ac:dyDescent="0.25">
      <c r="A28" s="14" t="s">
        <v>17</v>
      </c>
      <c r="B28" s="15" t="s">
        <v>387</v>
      </c>
      <c r="C28" s="24">
        <v>55437953</v>
      </c>
      <c r="D28" s="20">
        <v>68385992</v>
      </c>
      <c r="E28" s="23">
        <v>89355553</v>
      </c>
    </row>
    <row r="29" spans="1:5" ht="15" customHeight="1" x14ac:dyDescent="0.25">
      <c r="A29" s="14" t="s">
        <v>18</v>
      </c>
      <c r="B29" s="15" t="s">
        <v>19</v>
      </c>
      <c r="C29" s="24">
        <v>6559332</v>
      </c>
      <c r="D29" s="20">
        <v>14686816</v>
      </c>
      <c r="E29" s="23">
        <v>6614657</v>
      </c>
    </row>
    <row r="30" spans="1:5" ht="15" customHeight="1" x14ac:dyDescent="0.25">
      <c r="A30" s="14" t="s">
        <v>20</v>
      </c>
      <c r="B30" s="15" t="s">
        <v>21</v>
      </c>
      <c r="C30" s="25">
        <v>1700000</v>
      </c>
      <c r="D30" s="19">
        <v>1893570</v>
      </c>
      <c r="E30" s="25">
        <v>2000000</v>
      </c>
    </row>
    <row r="31" spans="1:5" ht="15" customHeight="1" x14ac:dyDescent="0.25">
      <c r="A31" s="14" t="s">
        <v>22</v>
      </c>
      <c r="B31" s="15" t="s">
        <v>388</v>
      </c>
      <c r="C31" s="25">
        <v>1367600</v>
      </c>
      <c r="D31" s="25">
        <v>1367600</v>
      </c>
      <c r="E31" s="139">
        <v>900000</v>
      </c>
    </row>
    <row r="32" spans="1:5" ht="15.75" x14ac:dyDescent="0.25">
      <c r="A32" s="75" t="s">
        <v>22</v>
      </c>
      <c r="B32" s="15" t="s">
        <v>365</v>
      </c>
      <c r="D32" s="19"/>
      <c r="E32" s="23">
        <v>41175570</v>
      </c>
    </row>
    <row r="33" spans="1:5" ht="15.75" x14ac:dyDescent="0.25">
      <c r="A33" s="14" t="s">
        <v>23</v>
      </c>
      <c r="B33" s="15" t="s">
        <v>341</v>
      </c>
      <c r="C33" s="24">
        <v>2160000</v>
      </c>
      <c r="D33" s="25">
        <v>2160000</v>
      </c>
      <c r="E33" s="24">
        <v>2160000</v>
      </c>
    </row>
    <row r="34" spans="1:5" ht="15.75" x14ac:dyDescent="0.25">
      <c r="A34" s="14" t="s">
        <v>12</v>
      </c>
      <c r="B34" s="15" t="s">
        <v>389</v>
      </c>
      <c r="C34" s="23">
        <v>10000</v>
      </c>
      <c r="D34" s="20">
        <v>107361</v>
      </c>
      <c r="E34" s="23">
        <v>10000</v>
      </c>
    </row>
    <row r="35" spans="1:5" ht="15.75" x14ac:dyDescent="0.25">
      <c r="A35" s="14" t="s">
        <v>24</v>
      </c>
      <c r="B35" s="15" t="s">
        <v>400</v>
      </c>
      <c r="C35" s="20">
        <v>0</v>
      </c>
      <c r="D35" s="19">
        <v>519777222</v>
      </c>
      <c r="E35" s="79">
        <v>10039668</v>
      </c>
    </row>
    <row r="36" spans="1:5" ht="15.75" x14ac:dyDescent="0.25">
      <c r="A36" s="287" t="s">
        <v>10</v>
      </c>
      <c r="B36" s="287"/>
      <c r="C36" s="26">
        <f>SUM(C26:C35)</f>
        <v>201720132</v>
      </c>
      <c r="D36" s="26">
        <f>SUM(D26:D35)</f>
        <v>757142575</v>
      </c>
      <c r="E36" s="27">
        <f>SUM(E26:E35)</f>
        <v>329775781</v>
      </c>
    </row>
    <row r="37" spans="1:5" x14ac:dyDescent="0.25">
      <c r="B37" s="12"/>
      <c r="C37" s="142"/>
    </row>
    <row r="38" spans="1:5" x14ac:dyDescent="0.25">
      <c r="B38" s="12"/>
      <c r="C38" s="142"/>
    </row>
    <row r="39" spans="1:5" ht="15.75" x14ac:dyDescent="0.25">
      <c r="A39" s="288" t="s">
        <v>333</v>
      </c>
      <c r="B39" s="289"/>
      <c r="C39" s="231"/>
      <c r="D39" s="143"/>
      <c r="E39" s="99"/>
    </row>
    <row r="40" spans="1:5" ht="15.75" x14ac:dyDescent="0.25">
      <c r="A40" s="14" t="s">
        <v>24</v>
      </c>
      <c r="B40" s="15" t="s">
        <v>390</v>
      </c>
      <c r="C40" s="225">
        <v>0</v>
      </c>
      <c r="D40" s="20">
        <v>747174</v>
      </c>
      <c r="E40" s="24">
        <v>0</v>
      </c>
    </row>
    <row r="41" spans="1:5" ht="15.75" x14ac:dyDescent="0.25">
      <c r="A41" s="287" t="s">
        <v>10</v>
      </c>
      <c r="B41" s="287"/>
      <c r="C41" s="226">
        <f t="shared" ref="C41" si="3">SUM(C40:C40)</f>
        <v>0</v>
      </c>
      <c r="D41" s="28">
        <f t="shared" ref="D41:E41" si="4">SUM(D40:D40)</f>
        <v>747174</v>
      </c>
      <c r="E41" s="28">
        <f t="shared" si="4"/>
        <v>0</v>
      </c>
    </row>
    <row r="42" spans="1:5" x14ac:dyDescent="0.25">
      <c r="B42" s="184"/>
      <c r="C42" s="142"/>
    </row>
    <row r="43" spans="1:5" x14ac:dyDescent="0.25">
      <c r="B43" s="185"/>
      <c r="C43" s="142"/>
    </row>
    <row r="44" spans="1:5" ht="15.75" x14ac:dyDescent="0.25">
      <c r="A44" s="286" t="s">
        <v>26</v>
      </c>
      <c r="B44" s="286"/>
      <c r="C44" s="230"/>
      <c r="D44" s="210"/>
      <c r="E44" s="99"/>
    </row>
    <row r="45" spans="1:5" ht="15.75" x14ac:dyDescent="0.25">
      <c r="A45" s="187" t="s">
        <v>42</v>
      </c>
      <c r="B45" s="15" t="s">
        <v>408</v>
      </c>
      <c r="C45" s="223">
        <v>0</v>
      </c>
      <c r="D45" s="79">
        <v>500000</v>
      </c>
      <c r="E45" s="79">
        <v>12600000</v>
      </c>
    </row>
    <row r="46" spans="1:5" s="142" customFormat="1" ht="15" customHeight="1" x14ac:dyDescent="0.25">
      <c r="A46" s="14" t="s">
        <v>42</v>
      </c>
      <c r="B46" s="15" t="s">
        <v>500</v>
      </c>
      <c r="C46" s="195"/>
      <c r="D46" s="19"/>
      <c r="E46" s="19">
        <v>15360000</v>
      </c>
    </row>
    <row r="47" spans="1:5" ht="15.75" x14ac:dyDescent="0.25">
      <c r="A47" s="14" t="s">
        <v>27</v>
      </c>
      <c r="B47" s="15" t="s">
        <v>504</v>
      </c>
      <c r="C47" s="24">
        <v>0</v>
      </c>
      <c r="D47" s="79">
        <v>500000</v>
      </c>
      <c r="E47" s="79">
        <v>17000000</v>
      </c>
    </row>
    <row r="48" spans="1:5" ht="15.75" x14ac:dyDescent="0.25">
      <c r="A48" s="14" t="s">
        <v>28</v>
      </c>
      <c r="B48" s="15" t="s">
        <v>29</v>
      </c>
      <c r="C48" s="23">
        <v>299053877</v>
      </c>
      <c r="D48" s="19">
        <v>299053877</v>
      </c>
      <c r="E48" s="19">
        <v>135373928</v>
      </c>
    </row>
    <row r="49" spans="1:5" ht="15.75" x14ac:dyDescent="0.25">
      <c r="A49" s="287" t="s">
        <v>10</v>
      </c>
      <c r="B49" s="287"/>
      <c r="C49" s="26">
        <f t="shared" ref="C49" si="5">SUM(C45:C48)</f>
        <v>299053877</v>
      </c>
      <c r="D49" s="26">
        <f>SUM(D45:D48)</f>
        <v>300053877</v>
      </c>
      <c r="E49" s="26">
        <f>SUM(E45:E48)</f>
        <v>180333928</v>
      </c>
    </row>
    <row r="50" spans="1:5" x14ac:dyDescent="0.25">
      <c r="B50" s="12"/>
      <c r="C50" s="142"/>
    </row>
    <row r="51" spans="1:5" x14ac:dyDescent="0.25">
      <c r="B51" s="12"/>
      <c r="C51" s="142"/>
    </row>
    <row r="52" spans="1:5" ht="15.75" x14ac:dyDescent="0.25">
      <c r="A52" s="286" t="s">
        <v>391</v>
      </c>
      <c r="B52" s="286"/>
      <c r="C52" s="230"/>
      <c r="D52" s="143"/>
      <c r="E52" s="99"/>
    </row>
    <row r="53" spans="1:5" ht="15.75" x14ac:dyDescent="0.25">
      <c r="A53" s="14" t="s">
        <v>42</v>
      </c>
      <c r="B53" s="15" t="s">
        <v>344</v>
      </c>
      <c r="C53" s="195"/>
      <c r="D53" s="139">
        <v>1497996</v>
      </c>
      <c r="E53" s="139">
        <v>1500000</v>
      </c>
    </row>
    <row r="54" spans="1:5" s="142" customFormat="1" ht="15.75" x14ac:dyDescent="0.25">
      <c r="A54" s="14" t="s">
        <v>30</v>
      </c>
      <c r="B54" s="15" t="s">
        <v>407</v>
      </c>
      <c r="C54" s="23">
        <v>50000000</v>
      </c>
      <c r="D54" s="139">
        <v>0</v>
      </c>
      <c r="E54" s="139">
        <v>8000000</v>
      </c>
    </row>
    <row r="55" spans="1:5" ht="15.75" x14ac:dyDescent="0.25">
      <c r="A55" s="14" t="s">
        <v>30</v>
      </c>
      <c r="B55" s="15" t="s">
        <v>342</v>
      </c>
      <c r="C55" s="23">
        <v>50000000</v>
      </c>
      <c r="D55" s="139">
        <v>0</v>
      </c>
      <c r="E55" s="139">
        <v>0</v>
      </c>
    </row>
    <row r="56" spans="1:5" ht="15.75" x14ac:dyDescent="0.25">
      <c r="A56" s="14" t="s">
        <v>30</v>
      </c>
      <c r="B56" s="15" t="s">
        <v>345</v>
      </c>
      <c r="C56" s="23">
        <v>104479741</v>
      </c>
      <c r="D56" s="139"/>
      <c r="E56" s="139">
        <v>100000000</v>
      </c>
    </row>
    <row r="57" spans="1:5" ht="15.75" x14ac:dyDescent="0.25">
      <c r="A57" s="14" t="s">
        <v>30</v>
      </c>
      <c r="B57" s="15" t="s">
        <v>346</v>
      </c>
      <c r="C57" s="195"/>
      <c r="D57" s="139"/>
      <c r="E57" s="139">
        <v>0</v>
      </c>
    </row>
    <row r="58" spans="1:5" ht="15.75" x14ac:dyDescent="0.25">
      <c r="A58" s="14" t="s">
        <v>30</v>
      </c>
      <c r="B58" s="15" t="s">
        <v>347</v>
      </c>
      <c r="C58" s="195"/>
      <c r="D58" s="139"/>
      <c r="E58" s="139">
        <v>0</v>
      </c>
    </row>
    <row r="59" spans="1:5" ht="15.75" x14ac:dyDescent="0.25">
      <c r="A59" s="14" t="s">
        <v>30</v>
      </c>
      <c r="B59" s="15" t="s">
        <v>348</v>
      </c>
      <c r="C59" s="195"/>
      <c r="D59" s="139"/>
      <c r="E59" s="139">
        <v>0</v>
      </c>
    </row>
    <row r="60" spans="1:5" ht="15.75" x14ac:dyDescent="0.25">
      <c r="A60" s="14" t="s">
        <v>30</v>
      </c>
      <c r="B60" s="15" t="s">
        <v>349</v>
      </c>
      <c r="C60" s="195"/>
      <c r="D60" s="139"/>
      <c r="E60" s="139">
        <v>0</v>
      </c>
    </row>
    <row r="61" spans="1:5" ht="15.75" x14ac:dyDescent="0.25">
      <c r="A61" s="14" t="s">
        <v>30</v>
      </c>
      <c r="B61" s="15" t="s">
        <v>350</v>
      </c>
      <c r="C61" s="195"/>
      <c r="D61" s="139"/>
      <c r="E61" s="139">
        <v>0</v>
      </c>
    </row>
    <row r="62" spans="1:5" ht="15.75" x14ac:dyDescent="0.25">
      <c r="A62" s="14" t="s">
        <v>30</v>
      </c>
      <c r="B62" s="15" t="s">
        <v>351</v>
      </c>
      <c r="C62" s="195"/>
      <c r="D62" s="139"/>
      <c r="E62" s="139">
        <v>2000000</v>
      </c>
    </row>
    <row r="63" spans="1:5" ht="15.75" x14ac:dyDescent="0.25">
      <c r="A63" s="14" t="s">
        <v>30</v>
      </c>
      <c r="B63" s="15" t="s">
        <v>352</v>
      </c>
      <c r="C63" s="195"/>
      <c r="D63" s="139"/>
      <c r="E63" s="139">
        <v>0</v>
      </c>
    </row>
    <row r="64" spans="1:5" ht="15.75" x14ac:dyDescent="0.25">
      <c r="A64" s="14" t="s">
        <v>30</v>
      </c>
      <c r="B64" s="15" t="s">
        <v>366</v>
      </c>
      <c r="C64" s="195"/>
      <c r="D64" s="139"/>
      <c r="E64" s="139">
        <v>1000000</v>
      </c>
    </row>
    <row r="65" spans="1:5" ht="15.75" x14ac:dyDescent="0.25">
      <c r="A65" s="14" t="s">
        <v>30</v>
      </c>
      <c r="B65" s="15" t="s">
        <v>353</v>
      </c>
      <c r="C65" s="195"/>
      <c r="D65" s="139"/>
      <c r="E65" s="139">
        <v>0</v>
      </c>
    </row>
    <row r="66" spans="1:5" ht="15.75" x14ac:dyDescent="0.25">
      <c r="A66" s="14" t="s">
        <v>30</v>
      </c>
      <c r="B66" s="15" t="s">
        <v>384</v>
      </c>
      <c r="C66" s="195"/>
      <c r="D66" s="139"/>
      <c r="E66" s="139">
        <v>480000</v>
      </c>
    </row>
    <row r="67" spans="1:5" ht="15.75" x14ac:dyDescent="0.25">
      <c r="A67" s="14" t="s">
        <v>30</v>
      </c>
      <c r="B67" s="15" t="s">
        <v>343</v>
      </c>
      <c r="C67" s="195"/>
      <c r="D67" s="139">
        <v>0</v>
      </c>
      <c r="E67" s="139">
        <v>0</v>
      </c>
    </row>
    <row r="68" spans="1:5" ht="15.75" x14ac:dyDescent="0.25">
      <c r="A68" s="287" t="s">
        <v>10</v>
      </c>
      <c r="B68" s="287"/>
      <c r="C68" s="26">
        <f>SUM(C54:C67)</f>
        <v>204479741</v>
      </c>
      <c r="D68" s="26">
        <v>1497996</v>
      </c>
      <c r="E68" s="26">
        <f>SUM(E53:E67)</f>
        <v>112980000</v>
      </c>
    </row>
    <row r="69" spans="1:5" x14ac:dyDescent="0.25">
      <c r="B69" s="12"/>
      <c r="C69" s="142"/>
    </row>
    <row r="70" spans="1:5" x14ac:dyDescent="0.25">
      <c r="B70" s="12"/>
      <c r="C70" s="142"/>
    </row>
    <row r="71" spans="1:5" ht="15.75" x14ac:dyDescent="0.25">
      <c r="A71" s="286" t="s">
        <v>33</v>
      </c>
      <c r="B71" s="286"/>
      <c r="C71" s="230"/>
      <c r="D71" s="143"/>
      <c r="E71" s="99"/>
    </row>
    <row r="72" spans="1:5" ht="15.75" x14ac:dyDescent="0.25">
      <c r="A72" s="14" t="s">
        <v>7</v>
      </c>
      <c r="B72" s="15" t="s">
        <v>505</v>
      </c>
      <c r="C72" s="32">
        <v>9000000</v>
      </c>
      <c r="D72" s="193">
        <v>6040350</v>
      </c>
      <c r="E72" s="32">
        <v>6040350</v>
      </c>
    </row>
    <row r="73" spans="1:5" ht="15.75" x14ac:dyDescent="0.25">
      <c r="A73" s="14" t="s">
        <v>7</v>
      </c>
      <c r="B73" s="15" t="s">
        <v>35</v>
      </c>
      <c r="C73" s="32">
        <v>9448819</v>
      </c>
      <c r="D73" s="193">
        <v>8937010</v>
      </c>
      <c r="E73" s="32">
        <v>9448824</v>
      </c>
    </row>
    <row r="74" spans="1:5" ht="15.75" x14ac:dyDescent="0.25">
      <c r="A74" s="14" t="s">
        <v>36</v>
      </c>
      <c r="B74" s="15" t="s">
        <v>506</v>
      </c>
      <c r="C74" s="24">
        <v>8000000</v>
      </c>
      <c r="D74" s="20">
        <v>6899612</v>
      </c>
      <c r="E74" s="24">
        <v>7000000</v>
      </c>
    </row>
    <row r="75" spans="1:5" s="142" customFormat="1" ht="15.75" x14ac:dyDescent="0.25">
      <c r="A75" s="14" t="s">
        <v>37</v>
      </c>
      <c r="B75" s="15" t="s">
        <v>34</v>
      </c>
      <c r="C75" s="32">
        <v>9600000</v>
      </c>
      <c r="D75" s="193">
        <v>9700000</v>
      </c>
      <c r="E75" s="115">
        <v>9700000</v>
      </c>
    </row>
    <row r="76" spans="1:5" ht="15.75" x14ac:dyDescent="0.25">
      <c r="A76" s="14" t="s">
        <v>37</v>
      </c>
      <c r="B76" s="15" t="s">
        <v>354</v>
      </c>
      <c r="C76" s="24">
        <v>9000000</v>
      </c>
      <c r="D76" s="20">
        <v>10144633</v>
      </c>
      <c r="E76" s="20">
        <v>10100000</v>
      </c>
    </row>
    <row r="77" spans="1:5" ht="15.75" x14ac:dyDescent="0.25">
      <c r="A77" s="14" t="s">
        <v>45</v>
      </c>
      <c r="B77" s="15" t="s">
        <v>507</v>
      </c>
      <c r="C77" s="235">
        <v>0</v>
      </c>
      <c r="D77" s="20">
        <v>14882</v>
      </c>
      <c r="E77" s="79">
        <v>0</v>
      </c>
    </row>
    <row r="78" spans="1:5" ht="15.75" x14ac:dyDescent="0.25">
      <c r="A78" s="14" t="s">
        <v>8</v>
      </c>
      <c r="B78" s="15" t="s">
        <v>9</v>
      </c>
      <c r="C78" s="23">
        <v>12163000</v>
      </c>
      <c r="D78" s="19">
        <v>8398508</v>
      </c>
      <c r="E78" s="23">
        <f>(E72+E75+E73+E74+E76)*0.27</f>
        <v>11418076.98</v>
      </c>
    </row>
    <row r="79" spans="1:5" ht="15.75" x14ac:dyDescent="0.25">
      <c r="A79" s="14" t="s">
        <v>338</v>
      </c>
      <c r="B79" s="15" t="s">
        <v>339</v>
      </c>
      <c r="C79" s="23">
        <v>1000000</v>
      </c>
      <c r="D79" s="19">
        <v>873600</v>
      </c>
      <c r="E79" s="23">
        <v>0</v>
      </c>
    </row>
    <row r="80" spans="1:5" ht="15.75" x14ac:dyDescent="0.25">
      <c r="A80" s="14" t="s">
        <v>12</v>
      </c>
      <c r="B80" s="15" t="s">
        <v>392</v>
      </c>
      <c r="C80" s="33">
        <v>0</v>
      </c>
      <c r="D80" s="115">
        <v>399179</v>
      </c>
      <c r="E80" s="32">
        <v>265000</v>
      </c>
    </row>
    <row r="81" spans="1:5" ht="15.75" x14ac:dyDescent="0.25">
      <c r="A81" s="14" t="s">
        <v>38</v>
      </c>
      <c r="B81" s="15" t="s">
        <v>39</v>
      </c>
      <c r="C81" s="23">
        <v>960000</v>
      </c>
      <c r="D81" s="19">
        <v>0</v>
      </c>
      <c r="E81" s="140">
        <v>0</v>
      </c>
    </row>
    <row r="82" spans="1:5" ht="15.75" x14ac:dyDescent="0.25">
      <c r="A82" s="14" t="s">
        <v>14</v>
      </c>
      <c r="B82" s="15" t="s">
        <v>340</v>
      </c>
      <c r="C82" s="235">
        <v>0</v>
      </c>
      <c r="D82" s="19">
        <v>0</v>
      </c>
      <c r="E82" s="19">
        <v>0</v>
      </c>
    </row>
    <row r="83" spans="1:5" ht="15.75" x14ac:dyDescent="0.25">
      <c r="A83" s="287" t="s">
        <v>10</v>
      </c>
      <c r="B83" s="287"/>
      <c r="C83" s="26">
        <f>SUM(C72:C82)</f>
        <v>59171819</v>
      </c>
      <c r="D83" s="26">
        <f>SUM(D72:D82)</f>
        <v>51407774</v>
      </c>
      <c r="E83" s="26">
        <f>SUM(E72:E82)</f>
        <v>53972250.980000004</v>
      </c>
    </row>
    <row r="84" spans="1:5" x14ac:dyDescent="0.25">
      <c r="B84" s="12"/>
      <c r="C84" s="142"/>
    </row>
    <row r="85" spans="1:5" x14ac:dyDescent="0.25">
      <c r="B85" s="12"/>
      <c r="C85" s="142"/>
    </row>
    <row r="86" spans="1:5" ht="15.75" x14ac:dyDescent="0.25">
      <c r="A86" s="286" t="s">
        <v>40</v>
      </c>
      <c r="B86" s="286"/>
      <c r="C86" s="230"/>
      <c r="D86" s="143"/>
      <c r="E86" s="99"/>
    </row>
    <row r="87" spans="1:5" ht="15.75" x14ac:dyDescent="0.25">
      <c r="A87" s="14" t="s">
        <v>42</v>
      </c>
      <c r="B87" s="15" t="s">
        <v>355</v>
      </c>
      <c r="C87" s="23">
        <v>47732376</v>
      </c>
      <c r="D87" s="19">
        <v>72322451</v>
      </c>
      <c r="E87" s="19">
        <v>100764000</v>
      </c>
    </row>
    <row r="88" spans="1:5" ht="15.75" x14ac:dyDescent="0.25">
      <c r="A88" s="291" t="s">
        <v>10</v>
      </c>
      <c r="B88" s="291"/>
      <c r="C88" s="34">
        <f>SUM(C87)</f>
        <v>47732376</v>
      </c>
      <c r="D88" s="34">
        <f t="shared" ref="D88:E88" si="6">SUM(D87)</f>
        <v>72322451</v>
      </c>
      <c r="E88" s="34">
        <f t="shared" si="6"/>
        <v>100764000</v>
      </c>
    </row>
    <row r="89" spans="1:5" ht="15.75" x14ac:dyDescent="0.25">
      <c r="A89" s="35"/>
      <c r="B89" s="36"/>
      <c r="C89" s="232"/>
    </row>
    <row r="90" spans="1:5" x14ac:dyDescent="0.25">
      <c r="B90" s="12"/>
      <c r="C90" s="229"/>
    </row>
    <row r="91" spans="1:5" ht="15.75" x14ac:dyDescent="0.25">
      <c r="A91" s="286" t="s">
        <v>41</v>
      </c>
      <c r="B91" s="286"/>
      <c r="C91" s="230"/>
      <c r="D91" s="143"/>
      <c r="E91" s="99"/>
    </row>
    <row r="92" spans="1:5" ht="15.75" x14ac:dyDescent="0.25">
      <c r="A92" s="14" t="s">
        <v>42</v>
      </c>
      <c r="B92" s="15" t="s">
        <v>356</v>
      </c>
      <c r="C92" s="23">
        <v>4684308</v>
      </c>
      <c r="D92" s="19">
        <v>5122548</v>
      </c>
      <c r="E92" s="23">
        <v>5000000</v>
      </c>
    </row>
    <row r="93" spans="1:5" ht="15.75" x14ac:dyDescent="0.25">
      <c r="A93" s="14" t="s">
        <v>42</v>
      </c>
      <c r="B93" s="15" t="s">
        <v>43</v>
      </c>
      <c r="C93" s="24">
        <v>1358652</v>
      </c>
      <c r="D93" s="20">
        <v>1813810</v>
      </c>
      <c r="E93" s="20">
        <v>1358652</v>
      </c>
    </row>
    <row r="94" spans="1:5" ht="15.75" x14ac:dyDescent="0.25">
      <c r="A94" s="287" t="s">
        <v>10</v>
      </c>
      <c r="B94" s="287"/>
      <c r="C94" s="28">
        <f>C92+C93</f>
        <v>6042960</v>
      </c>
      <c r="D94" s="28">
        <f t="shared" ref="D94:E94" si="7">D92+D93</f>
        <v>6936358</v>
      </c>
      <c r="E94" s="28">
        <f t="shared" si="7"/>
        <v>6358652</v>
      </c>
    </row>
    <row r="95" spans="1:5" ht="16.5" customHeight="1" x14ac:dyDescent="0.25">
      <c r="B95" s="12"/>
      <c r="C95" s="142"/>
    </row>
    <row r="96" spans="1:5" x14ac:dyDescent="0.25">
      <c r="B96" s="12"/>
      <c r="C96" s="142"/>
    </row>
    <row r="97" spans="1:5" ht="15.75" x14ac:dyDescent="0.25">
      <c r="A97" s="292" t="s">
        <v>44</v>
      </c>
      <c r="B97" s="292"/>
      <c r="C97" s="143"/>
      <c r="E97" s="99"/>
    </row>
    <row r="98" spans="1:5" ht="15.75" x14ac:dyDescent="0.25">
      <c r="A98" s="15" t="s">
        <v>45</v>
      </c>
      <c r="B98" s="14" t="s">
        <v>357</v>
      </c>
      <c r="C98" s="37">
        <v>55000000</v>
      </c>
      <c r="D98" s="114">
        <v>59867680</v>
      </c>
      <c r="E98" s="37">
        <v>60000000</v>
      </c>
    </row>
    <row r="99" spans="1:5" ht="15.75" x14ac:dyDescent="0.25">
      <c r="A99" s="15" t="s">
        <v>45</v>
      </c>
      <c r="B99" s="14" t="s">
        <v>405</v>
      </c>
      <c r="C99" s="225">
        <v>0</v>
      </c>
      <c r="D99" s="114"/>
      <c r="E99" s="37">
        <v>0</v>
      </c>
    </row>
    <row r="100" spans="1:5" ht="15.75" x14ac:dyDescent="0.25">
      <c r="A100" s="14" t="s">
        <v>8</v>
      </c>
      <c r="B100" s="14" t="s">
        <v>9</v>
      </c>
      <c r="C100" s="24">
        <v>14850000</v>
      </c>
      <c r="D100" s="20">
        <v>16164005</v>
      </c>
      <c r="E100" s="24">
        <v>16200000</v>
      </c>
    </row>
    <row r="101" spans="1:5" ht="15.75" x14ac:dyDescent="0.25">
      <c r="A101" s="287" t="s">
        <v>10</v>
      </c>
      <c r="B101" s="287"/>
      <c r="C101" s="26">
        <f>SUM(C98:C100)</f>
        <v>69850000</v>
      </c>
      <c r="D101" s="28">
        <f>SUM(D98:D100)</f>
        <v>76031685</v>
      </c>
      <c r="E101" s="28">
        <f>SUM(E98:E100)</f>
        <v>76200000</v>
      </c>
    </row>
    <row r="102" spans="1:5" x14ac:dyDescent="0.25">
      <c r="B102" s="12"/>
      <c r="C102" s="142"/>
    </row>
    <row r="103" spans="1:5" ht="15.75" x14ac:dyDescent="0.25">
      <c r="A103" s="35"/>
      <c r="B103" s="36"/>
      <c r="C103" s="142"/>
    </row>
    <row r="104" spans="1:5" ht="15.75" x14ac:dyDescent="0.25">
      <c r="A104" s="292" t="s">
        <v>46</v>
      </c>
      <c r="B104" s="292"/>
      <c r="C104" s="233"/>
      <c r="D104" s="143"/>
      <c r="E104" s="99"/>
    </row>
    <row r="105" spans="1:5" ht="15.75" x14ac:dyDescent="0.25">
      <c r="A105" s="14" t="s">
        <v>45</v>
      </c>
      <c r="B105" s="14" t="s">
        <v>47</v>
      </c>
      <c r="C105" s="24">
        <v>16000000</v>
      </c>
      <c r="D105" s="19">
        <v>15109828</v>
      </c>
      <c r="E105" s="19">
        <v>16000000</v>
      </c>
    </row>
    <row r="106" spans="1:5" ht="15.75" x14ac:dyDescent="0.25">
      <c r="A106" s="14" t="s">
        <v>8</v>
      </c>
      <c r="B106" s="14" t="s">
        <v>9</v>
      </c>
      <c r="C106" s="24">
        <v>4320000</v>
      </c>
      <c r="D106" s="20">
        <v>4079572</v>
      </c>
      <c r="E106" s="24">
        <f>E105*0.27</f>
        <v>4320000</v>
      </c>
    </row>
    <row r="107" spans="1:5" ht="15.75" x14ac:dyDescent="0.25">
      <c r="A107" s="287" t="s">
        <v>10</v>
      </c>
      <c r="B107" s="287"/>
      <c r="C107" s="28">
        <f t="shared" ref="C107" si="8">SUM(C105:C106)</f>
        <v>20320000</v>
      </c>
      <c r="D107" s="28">
        <f t="shared" ref="D107:E107" si="9">SUM(D105:D106)</f>
        <v>19189400</v>
      </c>
      <c r="E107" s="22">
        <f t="shared" si="9"/>
        <v>20320000</v>
      </c>
    </row>
    <row r="108" spans="1:5" ht="15.75" x14ac:dyDescent="0.25">
      <c r="A108" s="35"/>
      <c r="B108" s="35"/>
      <c r="C108" s="142"/>
    </row>
    <row r="109" spans="1:5" ht="15.75" x14ac:dyDescent="0.25">
      <c r="A109" s="35"/>
      <c r="B109" s="36"/>
      <c r="C109" s="142"/>
    </row>
    <row r="110" spans="1:5" ht="15.75" x14ac:dyDescent="0.25">
      <c r="A110" s="292" t="s">
        <v>358</v>
      </c>
      <c r="B110" s="292"/>
      <c r="C110" s="233"/>
      <c r="D110" s="143"/>
      <c r="E110" s="99"/>
    </row>
    <row r="111" spans="1:5" ht="15.75" x14ac:dyDescent="0.25">
      <c r="A111" s="14" t="s">
        <v>12</v>
      </c>
      <c r="B111" s="14" t="s">
        <v>13</v>
      </c>
      <c r="C111" s="23">
        <v>200000</v>
      </c>
      <c r="D111" s="19">
        <v>0</v>
      </c>
      <c r="E111" s="19">
        <v>0</v>
      </c>
    </row>
    <row r="112" spans="1:5" ht="15.75" x14ac:dyDescent="0.25">
      <c r="A112" s="14" t="s">
        <v>8</v>
      </c>
      <c r="B112" s="15" t="s">
        <v>49</v>
      </c>
      <c r="C112" s="23">
        <v>54000</v>
      </c>
      <c r="D112" s="19">
        <v>0</v>
      </c>
      <c r="E112" s="23">
        <f>E111*0.27</f>
        <v>0</v>
      </c>
    </row>
    <row r="113" spans="1:5" ht="15.75" x14ac:dyDescent="0.25">
      <c r="A113" s="287" t="s">
        <v>10</v>
      </c>
      <c r="B113" s="287"/>
      <c r="C113" s="28">
        <f>SUM(C111:C112)</f>
        <v>254000</v>
      </c>
      <c r="D113" s="28">
        <f t="shared" ref="D113:E113" si="10">SUM(D111:D112)</f>
        <v>0</v>
      </c>
      <c r="E113" s="28">
        <f t="shared" si="10"/>
        <v>0</v>
      </c>
    </row>
    <row r="114" spans="1:5" ht="15.75" x14ac:dyDescent="0.25">
      <c r="A114" s="35"/>
      <c r="B114" s="39"/>
      <c r="C114" s="141"/>
    </row>
    <row r="115" spans="1:5" ht="15.75" x14ac:dyDescent="0.25">
      <c r="A115" s="292" t="s">
        <v>50</v>
      </c>
      <c r="B115" s="292"/>
      <c r="C115" s="233"/>
      <c r="D115" s="143"/>
      <c r="E115" s="99"/>
    </row>
    <row r="116" spans="1:5" ht="15.75" x14ac:dyDescent="0.25">
      <c r="A116" s="14" t="s">
        <v>45</v>
      </c>
      <c r="B116" s="14" t="s">
        <v>51</v>
      </c>
      <c r="C116" s="24">
        <v>2000000</v>
      </c>
      <c r="D116" s="20">
        <v>2204266</v>
      </c>
      <c r="E116" s="20">
        <v>3000000</v>
      </c>
    </row>
    <row r="117" spans="1:5" ht="15.75" x14ac:dyDescent="0.25">
      <c r="A117" s="14" t="s">
        <v>8</v>
      </c>
      <c r="B117" s="15" t="s">
        <v>52</v>
      </c>
      <c r="C117" s="24">
        <v>540000</v>
      </c>
      <c r="D117" s="20">
        <v>595154</v>
      </c>
      <c r="E117" s="24">
        <f>E116*0.27</f>
        <v>810000</v>
      </c>
    </row>
    <row r="118" spans="1:5" ht="15.75" x14ac:dyDescent="0.25">
      <c r="A118" s="287" t="s">
        <v>10</v>
      </c>
      <c r="B118" s="287"/>
      <c r="C118" s="28">
        <f t="shared" ref="C118" si="11">SUM(C116:C117)</f>
        <v>2540000</v>
      </c>
      <c r="D118" s="28">
        <f t="shared" ref="D118:E118" si="12">SUM(D116:D117)</f>
        <v>2799420</v>
      </c>
      <c r="E118" s="28">
        <f t="shared" si="12"/>
        <v>3810000</v>
      </c>
    </row>
    <row r="119" spans="1:5" ht="15.75" x14ac:dyDescent="0.25">
      <c r="A119" s="35"/>
      <c r="B119" s="39"/>
      <c r="C119" s="142"/>
    </row>
    <row r="120" spans="1:5" ht="15.75" x14ac:dyDescent="0.25">
      <c r="A120" s="294"/>
      <c r="B120" s="294"/>
      <c r="C120" s="142"/>
    </row>
    <row r="121" spans="1:5" ht="15.75" x14ac:dyDescent="0.25">
      <c r="A121" s="292" t="s">
        <v>395</v>
      </c>
      <c r="B121" s="292"/>
      <c r="C121" s="233"/>
      <c r="D121" s="143"/>
      <c r="E121" s="99"/>
    </row>
    <row r="122" spans="1:5" ht="15.75" x14ac:dyDescent="0.25">
      <c r="A122" s="15" t="s">
        <v>53</v>
      </c>
      <c r="B122" s="15" t="s">
        <v>393</v>
      </c>
      <c r="C122" s="295">
        <v>141600000</v>
      </c>
      <c r="D122" s="193">
        <v>81944313</v>
      </c>
      <c r="E122" s="23">
        <v>82000000</v>
      </c>
    </row>
    <row r="123" spans="1:5" ht="15.75" x14ac:dyDescent="0.25">
      <c r="A123" s="15" t="s">
        <v>53</v>
      </c>
      <c r="B123" s="15" t="s">
        <v>396</v>
      </c>
      <c r="C123" s="296"/>
      <c r="D123" s="193">
        <v>62313222</v>
      </c>
      <c r="E123" s="23">
        <v>63000000</v>
      </c>
    </row>
    <row r="124" spans="1:5" ht="15.75" x14ac:dyDescent="0.25">
      <c r="A124" s="14" t="s">
        <v>53</v>
      </c>
      <c r="B124" s="14" t="s">
        <v>394</v>
      </c>
      <c r="C124" s="297"/>
      <c r="D124" s="193">
        <v>1854265</v>
      </c>
      <c r="E124" s="23">
        <v>1700000</v>
      </c>
    </row>
    <row r="125" spans="1:5" ht="15.75" x14ac:dyDescent="0.25">
      <c r="A125" s="14" t="s">
        <v>54</v>
      </c>
      <c r="B125" s="15" t="s">
        <v>55</v>
      </c>
      <c r="C125" s="23">
        <v>1100000000</v>
      </c>
      <c r="D125" s="19">
        <v>1084750572</v>
      </c>
      <c r="E125" s="23">
        <v>1200000000</v>
      </c>
    </row>
    <row r="126" spans="1:5" ht="15.75" x14ac:dyDescent="0.25">
      <c r="A126" s="14" t="s">
        <v>56</v>
      </c>
      <c r="B126" s="14" t="s">
        <v>57</v>
      </c>
      <c r="C126" s="23">
        <v>2600000</v>
      </c>
      <c r="D126" s="19">
        <v>3333500</v>
      </c>
      <c r="E126" s="23">
        <v>3000000</v>
      </c>
    </row>
    <row r="127" spans="1:5" ht="15.75" x14ac:dyDescent="0.25">
      <c r="A127" s="14" t="s">
        <v>58</v>
      </c>
      <c r="B127" s="15" t="s">
        <v>508</v>
      </c>
      <c r="C127" s="24">
        <v>2000000</v>
      </c>
      <c r="D127" s="19">
        <v>2772415</v>
      </c>
      <c r="E127" s="23">
        <v>2500000</v>
      </c>
    </row>
    <row r="128" spans="1:5" ht="15.75" x14ac:dyDescent="0.25">
      <c r="A128" s="75" t="s">
        <v>59</v>
      </c>
      <c r="B128" s="15" t="s">
        <v>60</v>
      </c>
      <c r="C128" s="235">
        <v>0</v>
      </c>
      <c r="D128" s="19">
        <v>150000</v>
      </c>
      <c r="E128" s="23">
        <v>0</v>
      </c>
    </row>
    <row r="129" spans="1:5" ht="15.75" x14ac:dyDescent="0.25">
      <c r="A129" s="14" t="s">
        <v>12</v>
      </c>
      <c r="B129" s="15" t="s">
        <v>509</v>
      </c>
      <c r="C129" s="24">
        <v>0</v>
      </c>
      <c r="D129" s="19">
        <v>0</v>
      </c>
      <c r="E129" s="23">
        <v>8000000</v>
      </c>
    </row>
    <row r="130" spans="1:5" ht="15.75" x14ac:dyDescent="0.25">
      <c r="A130" s="14" t="s">
        <v>12</v>
      </c>
      <c r="B130" s="15" t="s">
        <v>510</v>
      </c>
      <c r="C130" s="23">
        <v>2000000</v>
      </c>
      <c r="D130" s="19">
        <v>2007562</v>
      </c>
      <c r="E130" s="23">
        <v>2000000</v>
      </c>
    </row>
    <row r="131" spans="1:5" ht="15.75" x14ac:dyDescent="0.25">
      <c r="A131" s="287" t="s">
        <v>10</v>
      </c>
      <c r="B131" s="287"/>
      <c r="C131" s="28">
        <f>SUM(C122:C130)</f>
        <v>1248200000</v>
      </c>
      <c r="D131" s="28">
        <f>SUM(D122:D130)</f>
        <v>1239125849</v>
      </c>
      <c r="E131" s="22">
        <f>SUM(E122:E130)</f>
        <v>1362200000</v>
      </c>
    </row>
    <row r="132" spans="1:5" ht="15.75" x14ac:dyDescent="0.25">
      <c r="A132" s="35"/>
      <c r="B132" s="35"/>
      <c r="C132" s="142"/>
    </row>
    <row r="133" spans="1:5" ht="15.75" x14ac:dyDescent="0.25">
      <c r="A133" s="35"/>
      <c r="B133" s="36"/>
      <c r="C133" s="142"/>
    </row>
    <row r="134" spans="1:5" ht="15.75" x14ac:dyDescent="0.25">
      <c r="A134" s="292" t="s">
        <v>61</v>
      </c>
      <c r="B134" s="292"/>
      <c r="C134" s="233"/>
      <c r="D134" s="143"/>
      <c r="E134" s="99"/>
    </row>
    <row r="135" spans="1:5" ht="15.75" x14ac:dyDescent="0.25">
      <c r="A135" s="14" t="s">
        <v>59</v>
      </c>
      <c r="B135" s="14" t="s">
        <v>63</v>
      </c>
      <c r="C135" s="20">
        <f>2500000+1065667</f>
        <v>3565667</v>
      </c>
      <c r="D135" s="20">
        <v>4552604</v>
      </c>
      <c r="E135" s="79">
        <v>0</v>
      </c>
    </row>
    <row r="136" spans="1:5" ht="15.75" x14ac:dyDescent="0.25">
      <c r="A136" s="14" t="s">
        <v>328</v>
      </c>
      <c r="B136" s="15" t="s">
        <v>332</v>
      </c>
      <c r="C136" s="19">
        <v>0</v>
      </c>
      <c r="D136" s="19">
        <v>0</v>
      </c>
      <c r="E136" s="140">
        <v>0</v>
      </c>
    </row>
    <row r="137" spans="1:5" ht="15.75" x14ac:dyDescent="0.25">
      <c r="A137" s="14" t="s">
        <v>64</v>
      </c>
      <c r="B137" s="15" t="s">
        <v>403</v>
      </c>
      <c r="C137" s="24">
        <v>160000000</v>
      </c>
      <c r="D137" s="20">
        <v>4796440</v>
      </c>
      <c r="E137" s="24">
        <v>160000000</v>
      </c>
    </row>
    <row r="138" spans="1:5" ht="15.75" x14ac:dyDescent="0.25">
      <c r="A138" s="14" t="s">
        <v>65</v>
      </c>
      <c r="B138" s="15" t="s">
        <v>66</v>
      </c>
      <c r="C138" s="24">
        <v>100000000</v>
      </c>
      <c r="D138" s="20">
        <v>200000000</v>
      </c>
      <c r="E138" s="19">
        <v>0</v>
      </c>
    </row>
    <row r="139" spans="1:5" ht="15.75" x14ac:dyDescent="0.25">
      <c r="A139" s="287" t="s">
        <v>10</v>
      </c>
      <c r="B139" s="287"/>
      <c r="C139" s="28">
        <f t="shared" ref="C139" si="13">SUM(C135:C138)</f>
        <v>263565667</v>
      </c>
      <c r="D139" s="28">
        <f t="shared" ref="D139:E139" si="14">SUM(D135:D138)</f>
        <v>209349044</v>
      </c>
      <c r="E139" s="28">
        <f t="shared" si="14"/>
        <v>160000000</v>
      </c>
    </row>
    <row r="140" spans="1:5" ht="15.75" x14ac:dyDescent="0.25">
      <c r="A140" s="35"/>
      <c r="B140" s="39"/>
      <c r="C140" s="142"/>
    </row>
    <row r="141" spans="1:5" ht="15.75" x14ac:dyDescent="0.25">
      <c r="A141" s="29"/>
      <c r="B141" s="40"/>
      <c r="C141" s="142"/>
    </row>
    <row r="142" spans="1:5" ht="15.75" x14ac:dyDescent="0.25">
      <c r="A142" s="41"/>
      <c r="B142" s="36"/>
      <c r="C142" s="142"/>
    </row>
    <row r="143" spans="1:5" ht="15.75" x14ac:dyDescent="0.25">
      <c r="A143" s="42" t="s">
        <v>370</v>
      </c>
      <c r="B143" s="42"/>
      <c r="C143" s="28">
        <f>C139+C131+C118+C107+C101+C94+C88+C83+C68+C49+C41+C36+C22+C113+C16</f>
        <v>2429470572</v>
      </c>
      <c r="D143" s="28">
        <f>D139+D131+D118+D107+D101+D94+D88+D83+D68+D49+D36+D22+D16+D113+D41</f>
        <v>2746092597</v>
      </c>
      <c r="E143" s="28">
        <f>E139+E131+E118+E107+E101+E94+E88+E83+E68+E49+E36+E22+E16+E113+E41</f>
        <v>2416874611.98</v>
      </c>
    </row>
    <row r="144" spans="1:5" ht="15.75" x14ac:dyDescent="0.25">
      <c r="B144" s="12"/>
      <c r="C144" s="142"/>
      <c r="D144" s="258"/>
    </row>
    <row r="145" spans="1:5" x14ac:dyDescent="0.25">
      <c r="B145" s="12"/>
      <c r="C145" s="170"/>
      <c r="E145" s="13"/>
    </row>
    <row r="146" spans="1:5" x14ac:dyDescent="0.25">
      <c r="B146" s="12"/>
      <c r="C146" s="142"/>
    </row>
    <row r="147" spans="1:5" x14ac:dyDescent="0.25">
      <c r="B147" s="12"/>
      <c r="C147" s="142"/>
    </row>
    <row r="148" spans="1:5" x14ac:dyDescent="0.25">
      <c r="B148" s="12"/>
      <c r="C148" s="142"/>
    </row>
    <row r="149" spans="1:5" ht="20.25" x14ac:dyDescent="0.3">
      <c r="A149" s="278" t="s">
        <v>67</v>
      </c>
      <c r="B149" s="278"/>
      <c r="C149" s="278"/>
      <c r="D149" s="278"/>
      <c r="E149" s="278"/>
    </row>
    <row r="150" spans="1:5" x14ac:dyDescent="0.25">
      <c r="B150" s="12"/>
      <c r="C150" s="229"/>
    </row>
    <row r="151" spans="1:5" ht="15.75" x14ac:dyDescent="0.25">
      <c r="A151" s="292" t="s">
        <v>68</v>
      </c>
      <c r="B151" s="292"/>
      <c r="C151" s="237"/>
      <c r="D151" s="143"/>
      <c r="E151" s="99"/>
    </row>
    <row r="152" spans="1:5" ht="15.75" x14ac:dyDescent="0.25">
      <c r="A152" s="43" t="s">
        <v>7</v>
      </c>
      <c r="B152" s="43" t="s">
        <v>360</v>
      </c>
      <c r="C152" s="44">
        <v>1800000</v>
      </c>
      <c r="D152" s="171">
        <v>1160000</v>
      </c>
      <c r="E152" s="44">
        <v>1200000</v>
      </c>
    </row>
    <row r="153" spans="1:5" ht="15.75" x14ac:dyDescent="0.25">
      <c r="A153" s="43" t="s">
        <v>36</v>
      </c>
      <c r="B153" s="187" t="s">
        <v>361</v>
      </c>
      <c r="C153" s="44">
        <v>5500000</v>
      </c>
      <c r="D153" s="171">
        <v>4575391</v>
      </c>
      <c r="E153" s="44">
        <v>4500000</v>
      </c>
    </row>
    <row r="154" spans="1:5" ht="15.75" x14ac:dyDescent="0.25">
      <c r="A154" s="45" t="s">
        <v>8</v>
      </c>
      <c r="B154" s="186" t="s">
        <v>9</v>
      </c>
      <c r="C154" s="44">
        <v>750000</v>
      </c>
      <c r="D154" s="171">
        <v>530611</v>
      </c>
      <c r="E154" s="44">
        <v>1215000</v>
      </c>
    </row>
    <row r="155" spans="1:5" ht="15.75" x14ac:dyDescent="0.25">
      <c r="A155" s="45" t="s">
        <v>62</v>
      </c>
      <c r="B155" s="186" t="s">
        <v>69</v>
      </c>
      <c r="C155" s="44">
        <v>10000</v>
      </c>
      <c r="D155" s="171">
        <v>0</v>
      </c>
      <c r="E155" s="44">
        <v>0</v>
      </c>
    </row>
    <row r="156" spans="1:5" ht="15.75" x14ac:dyDescent="0.25">
      <c r="A156" s="45" t="s">
        <v>12</v>
      </c>
      <c r="B156" s="15" t="s">
        <v>397</v>
      </c>
      <c r="C156" s="44">
        <v>500000</v>
      </c>
      <c r="D156" s="171">
        <v>30755</v>
      </c>
      <c r="E156" s="44">
        <v>50000</v>
      </c>
    </row>
    <row r="157" spans="1:5" ht="15.75" x14ac:dyDescent="0.25">
      <c r="A157" s="287" t="s">
        <v>10</v>
      </c>
      <c r="B157" s="287"/>
      <c r="C157" s="22">
        <f t="shared" ref="C157" si="15">SUM(C152:C156)</f>
        <v>8560000</v>
      </c>
      <c r="D157" s="28">
        <f t="shared" ref="D157:E157" si="16">SUM(D152:D156)</f>
        <v>6296757</v>
      </c>
      <c r="E157" s="28">
        <f t="shared" si="16"/>
        <v>6965000</v>
      </c>
    </row>
    <row r="158" spans="1:5" x14ac:dyDescent="0.25">
      <c r="B158" s="12"/>
      <c r="C158" s="229"/>
    </row>
    <row r="159" spans="1:5" ht="15.75" x14ac:dyDescent="0.25">
      <c r="A159" s="279" t="s">
        <v>70</v>
      </c>
      <c r="B159" s="280"/>
      <c r="C159" s="280"/>
      <c r="D159" s="280"/>
      <c r="E159" s="281"/>
    </row>
    <row r="160" spans="1:5" ht="15.75" x14ac:dyDescent="0.25">
      <c r="A160" s="14" t="s">
        <v>42</v>
      </c>
      <c r="B160" s="14" t="s">
        <v>359</v>
      </c>
      <c r="C160" s="23">
        <v>0</v>
      </c>
      <c r="D160" s="19">
        <v>2877257</v>
      </c>
      <c r="E160" s="23">
        <v>3000000</v>
      </c>
    </row>
    <row r="161" spans="1:5" ht="15.75" x14ac:dyDescent="0.25">
      <c r="A161" s="287" t="s">
        <v>10</v>
      </c>
      <c r="B161" s="287"/>
      <c r="C161" s="28">
        <f t="shared" ref="C161" si="17">SUM(C160:C160)</f>
        <v>0</v>
      </c>
      <c r="D161" s="28">
        <f t="shared" ref="D161:E161" si="18">SUM(D160:D160)</f>
        <v>2877257</v>
      </c>
      <c r="E161" s="28">
        <f t="shared" si="18"/>
        <v>3000000</v>
      </c>
    </row>
    <row r="162" spans="1:5" x14ac:dyDescent="0.25">
      <c r="B162" s="12"/>
      <c r="C162" s="229"/>
    </row>
    <row r="163" spans="1:5" x14ac:dyDescent="0.25">
      <c r="B163" s="12"/>
      <c r="C163" s="229"/>
    </row>
    <row r="164" spans="1:5" ht="15.75" x14ac:dyDescent="0.25">
      <c r="A164" s="285" t="s">
        <v>26</v>
      </c>
      <c r="B164" s="285"/>
      <c r="C164" s="285"/>
      <c r="D164" s="285"/>
      <c r="E164" s="285"/>
    </row>
    <row r="165" spans="1:5" ht="15.75" x14ac:dyDescent="0.25">
      <c r="A165" s="15" t="s">
        <v>28</v>
      </c>
      <c r="B165" s="15" t="s">
        <v>71</v>
      </c>
      <c r="C165" s="23">
        <v>20295950</v>
      </c>
      <c r="D165" s="19">
        <v>20295950</v>
      </c>
      <c r="E165" s="23">
        <v>19285605</v>
      </c>
    </row>
    <row r="166" spans="1:5" ht="15.75" x14ac:dyDescent="0.25">
      <c r="A166" s="14" t="s">
        <v>72</v>
      </c>
      <c r="B166" s="14" t="s">
        <v>73</v>
      </c>
      <c r="C166" s="23">
        <v>256402564</v>
      </c>
      <c r="D166" s="19">
        <v>310677972</v>
      </c>
      <c r="E166" s="19">
        <v>319670437</v>
      </c>
    </row>
    <row r="167" spans="1:5" ht="15.75" x14ac:dyDescent="0.25">
      <c r="A167" s="287" t="s">
        <v>10</v>
      </c>
      <c r="B167" s="287"/>
      <c r="C167" s="28">
        <f>SUM(C165:C166)</f>
        <v>276698514</v>
      </c>
      <c r="D167" s="28">
        <f>SUM(D165:D166)</f>
        <v>330973922</v>
      </c>
      <c r="E167" s="28">
        <f>SUM(E165:E166)</f>
        <v>338956042</v>
      </c>
    </row>
    <row r="168" spans="1:5" ht="15.75" x14ac:dyDescent="0.25">
      <c r="A168" s="29"/>
      <c r="B168" s="36"/>
      <c r="C168" s="142"/>
    </row>
    <row r="169" spans="1:5" ht="15.75" x14ac:dyDescent="0.25">
      <c r="A169" s="29"/>
      <c r="B169" s="39"/>
      <c r="C169" s="142"/>
    </row>
    <row r="170" spans="1:5" x14ac:dyDescent="0.25">
      <c r="B170" s="185"/>
      <c r="C170" s="142"/>
    </row>
    <row r="171" spans="1:5" ht="15.75" x14ac:dyDescent="0.25">
      <c r="A171" s="305" t="s">
        <v>74</v>
      </c>
      <c r="B171" s="306"/>
      <c r="C171" s="47">
        <f>C167+C157+C161</f>
        <v>285258514</v>
      </c>
      <c r="D171" s="47">
        <f>D167+D157+D161</f>
        <v>340147936</v>
      </c>
      <c r="E171" s="47">
        <f>E167+E157+E161</f>
        <v>348921042</v>
      </c>
    </row>
    <row r="172" spans="1:5" ht="15.75" x14ac:dyDescent="0.25">
      <c r="A172" s="1"/>
      <c r="B172" s="48"/>
      <c r="C172" s="142"/>
    </row>
    <row r="173" spans="1:5" ht="15.75" x14ac:dyDescent="0.25">
      <c r="A173" s="1"/>
      <c r="B173" s="11"/>
      <c r="C173" s="142"/>
    </row>
    <row r="174" spans="1:5" ht="15.75" x14ac:dyDescent="0.25">
      <c r="A174" s="1"/>
      <c r="B174" s="5"/>
      <c r="C174" s="142"/>
    </row>
    <row r="175" spans="1:5" ht="15.75" x14ac:dyDescent="0.25">
      <c r="A175" s="1"/>
      <c r="B175" s="5"/>
      <c r="C175" s="142"/>
    </row>
    <row r="176" spans="1:5" ht="20.25" x14ac:dyDescent="0.3">
      <c r="A176" s="278" t="s">
        <v>75</v>
      </c>
      <c r="B176" s="278"/>
      <c r="C176" s="278"/>
      <c r="D176" s="278"/>
      <c r="E176" s="278"/>
    </row>
    <row r="177" spans="1:5" ht="20.25" x14ac:dyDescent="0.3">
      <c r="A177" s="49"/>
      <c r="B177" s="4"/>
      <c r="C177" s="227"/>
    </row>
    <row r="178" spans="1:5" ht="15.75" customHeight="1" x14ac:dyDescent="0.25">
      <c r="A178" s="282" t="s">
        <v>76</v>
      </c>
      <c r="B178" s="283"/>
      <c r="C178" s="283"/>
      <c r="D178" s="283"/>
      <c r="E178" s="284"/>
    </row>
    <row r="179" spans="1:5" ht="15.75" x14ac:dyDescent="0.25">
      <c r="A179" s="15" t="s">
        <v>28</v>
      </c>
      <c r="B179" s="15" t="s">
        <v>77</v>
      </c>
      <c r="C179" s="19">
        <v>1437205</v>
      </c>
      <c r="D179" s="19">
        <v>1437205</v>
      </c>
      <c r="E179" s="19">
        <v>1675696</v>
      </c>
    </row>
    <row r="180" spans="1:5" ht="15.75" x14ac:dyDescent="0.25">
      <c r="A180" s="14" t="s">
        <v>72</v>
      </c>
      <c r="B180" s="14" t="s">
        <v>73</v>
      </c>
      <c r="C180" s="19">
        <v>62225500</v>
      </c>
      <c r="D180" s="19">
        <v>55061343</v>
      </c>
      <c r="E180" s="19">
        <v>78902478</v>
      </c>
    </row>
    <row r="181" spans="1:5" ht="15.75" x14ac:dyDescent="0.25">
      <c r="A181" s="298" t="s">
        <v>10</v>
      </c>
      <c r="B181" s="298"/>
      <c r="C181" s="28">
        <f t="shared" ref="C181" si="19">SUM(C179:C180)</f>
        <v>63662705</v>
      </c>
      <c r="D181" s="28">
        <f>SUM(D179:D180)</f>
        <v>56498548</v>
      </c>
      <c r="E181" s="28">
        <f t="shared" ref="E181" si="20">SUM(E179:E180)</f>
        <v>80578174</v>
      </c>
    </row>
    <row r="182" spans="1:5" s="50" customFormat="1" ht="15.75" customHeight="1" x14ac:dyDescent="0.25"/>
    <row r="183" spans="1:5" s="50" customFormat="1" ht="15.75" customHeight="1" x14ac:dyDescent="0.25"/>
    <row r="184" spans="1:5" ht="15.75" x14ac:dyDescent="0.25">
      <c r="A184" s="279" t="s">
        <v>78</v>
      </c>
      <c r="B184" s="280"/>
      <c r="C184" s="280"/>
      <c r="D184" s="280"/>
      <c r="E184" s="281"/>
    </row>
    <row r="185" spans="1:5" ht="15.75" x14ac:dyDescent="0.25">
      <c r="A185" s="43" t="s">
        <v>7</v>
      </c>
      <c r="B185" s="43" t="s">
        <v>362</v>
      </c>
      <c r="C185" s="51">
        <v>2963000</v>
      </c>
      <c r="D185" s="53">
        <v>1924500</v>
      </c>
      <c r="E185" s="53">
        <v>2000000</v>
      </c>
    </row>
    <row r="186" spans="1:5" ht="15.75" x14ac:dyDescent="0.25">
      <c r="A186" s="14" t="s">
        <v>45</v>
      </c>
      <c r="B186" s="187" t="s">
        <v>363</v>
      </c>
      <c r="C186" s="24">
        <v>1537000</v>
      </c>
      <c r="D186" s="53">
        <v>839200</v>
      </c>
      <c r="E186" s="53">
        <v>850000</v>
      </c>
    </row>
    <row r="187" spans="1:5" ht="15.75" x14ac:dyDescent="0.25">
      <c r="A187" s="15" t="s">
        <v>59</v>
      </c>
      <c r="B187" s="187" t="s">
        <v>79</v>
      </c>
      <c r="C187" s="24">
        <v>5000</v>
      </c>
      <c r="D187" s="20">
        <v>0</v>
      </c>
      <c r="E187" s="24">
        <v>0</v>
      </c>
    </row>
    <row r="188" spans="1:5" ht="15.75" x14ac:dyDescent="0.25">
      <c r="A188" s="15" t="s">
        <v>12</v>
      </c>
      <c r="B188" s="187" t="s">
        <v>13</v>
      </c>
      <c r="C188" s="24">
        <v>500000</v>
      </c>
      <c r="D188" s="20">
        <v>210</v>
      </c>
      <c r="E188" s="24">
        <v>0</v>
      </c>
    </row>
    <row r="189" spans="1:5" ht="15.75" x14ac:dyDescent="0.25">
      <c r="A189" s="287" t="s">
        <v>10</v>
      </c>
      <c r="B189" s="287"/>
      <c r="C189" s="28">
        <f t="shared" ref="C189" si="21">SUM(C185:C188)</f>
        <v>5005000</v>
      </c>
      <c r="D189" s="28">
        <f t="shared" ref="D189:E189" si="22">SUM(D185:D188)</f>
        <v>2763910</v>
      </c>
      <c r="E189" s="28">
        <f t="shared" si="22"/>
        <v>2850000</v>
      </c>
    </row>
    <row r="190" spans="1:5" ht="15.75" x14ac:dyDescent="0.25">
      <c r="A190" s="29"/>
      <c r="B190" s="29"/>
      <c r="C190" s="142"/>
    </row>
    <row r="191" spans="1:5" ht="15.75" x14ac:dyDescent="0.25">
      <c r="A191" s="29"/>
      <c r="B191" s="29"/>
      <c r="C191" s="142"/>
    </row>
    <row r="192" spans="1:5" ht="15.75" x14ac:dyDescent="0.25">
      <c r="A192" s="29"/>
      <c r="B192" s="39"/>
      <c r="C192" s="142"/>
    </row>
    <row r="193" spans="1:5" ht="15.75" x14ac:dyDescent="0.25">
      <c r="A193" s="291" t="s">
        <v>80</v>
      </c>
      <c r="B193" s="291"/>
      <c r="C193" s="55">
        <f t="shared" ref="C193" si="23">C181+C189</f>
        <v>68667705</v>
      </c>
      <c r="D193" s="55">
        <f>D181+D189</f>
        <v>59262458</v>
      </c>
      <c r="E193" s="55">
        <f>E181+E189</f>
        <v>83428174</v>
      </c>
    </row>
    <row r="194" spans="1:5" ht="15.75" x14ac:dyDescent="0.25">
      <c r="A194" s="35"/>
      <c r="B194" s="190"/>
      <c r="C194" s="142"/>
    </row>
    <row r="195" spans="1:5" ht="15.75" x14ac:dyDescent="0.25">
      <c r="A195" s="35"/>
      <c r="B195" s="188"/>
      <c r="C195" s="142"/>
    </row>
    <row r="196" spans="1:5" ht="15.75" x14ac:dyDescent="0.25">
      <c r="A196" s="35"/>
      <c r="B196" s="188"/>
      <c r="C196" s="142"/>
    </row>
    <row r="197" spans="1:5" ht="15.75" x14ac:dyDescent="0.25">
      <c r="A197" s="35"/>
      <c r="B197" s="188"/>
      <c r="C197" s="142"/>
    </row>
    <row r="198" spans="1:5" ht="15.75" x14ac:dyDescent="0.25">
      <c r="A198" s="35"/>
      <c r="B198" s="36"/>
      <c r="C198" s="142"/>
    </row>
    <row r="199" spans="1:5" ht="20.25" x14ac:dyDescent="0.3">
      <c r="A199" s="304" t="s">
        <v>81</v>
      </c>
      <c r="B199" s="304"/>
      <c r="C199" s="304"/>
      <c r="D199" s="304"/>
      <c r="E199" s="304"/>
    </row>
    <row r="200" spans="1:5" ht="20.25" x14ac:dyDescent="0.3">
      <c r="A200" s="56"/>
      <c r="B200" s="189"/>
      <c r="C200" s="236"/>
    </row>
    <row r="201" spans="1:5" ht="15.75" x14ac:dyDescent="0.25">
      <c r="A201" s="299" t="s">
        <v>26</v>
      </c>
      <c r="B201" s="300"/>
      <c r="C201" s="300"/>
      <c r="D201" s="300"/>
      <c r="E201" s="301"/>
    </row>
    <row r="202" spans="1:5" ht="15.75" x14ac:dyDescent="0.25">
      <c r="A202" s="15" t="s">
        <v>42</v>
      </c>
      <c r="B202" s="14" t="s">
        <v>412</v>
      </c>
      <c r="C202" s="222"/>
      <c r="D202" s="19">
        <v>600000</v>
      </c>
      <c r="E202" s="215"/>
    </row>
    <row r="203" spans="1:5" ht="15.75" x14ac:dyDescent="0.25">
      <c r="A203" s="15" t="s">
        <v>82</v>
      </c>
      <c r="B203" s="15" t="s">
        <v>77</v>
      </c>
      <c r="C203" s="19">
        <v>657075</v>
      </c>
      <c r="D203" s="19">
        <v>657075</v>
      </c>
      <c r="E203" s="19">
        <v>2141870</v>
      </c>
    </row>
    <row r="204" spans="1:5" ht="15.75" x14ac:dyDescent="0.25">
      <c r="A204" s="14" t="s">
        <v>72</v>
      </c>
      <c r="B204" s="14" t="s">
        <v>73</v>
      </c>
      <c r="C204" s="23">
        <v>76950616</v>
      </c>
      <c r="D204" s="19">
        <v>86656465</v>
      </c>
      <c r="E204" s="19">
        <v>139867114</v>
      </c>
    </row>
    <row r="205" spans="1:5" ht="15.75" x14ac:dyDescent="0.25">
      <c r="A205" s="287" t="s">
        <v>10</v>
      </c>
      <c r="B205" s="287"/>
      <c r="C205" s="28">
        <f>SUM(C203:C204)</f>
        <v>77607691</v>
      </c>
      <c r="D205" s="28">
        <f>SUM(D202:D204)</f>
        <v>87913540</v>
      </c>
      <c r="E205" s="28">
        <f>SUM(E202:E204)</f>
        <v>142008984</v>
      </c>
    </row>
    <row r="206" spans="1:5" ht="20.25" x14ac:dyDescent="0.3">
      <c r="A206" s="57"/>
      <c r="B206" s="57"/>
      <c r="C206" s="57"/>
    </row>
    <row r="207" spans="1:5" ht="15.75" x14ac:dyDescent="0.25">
      <c r="A207" s="302" t="s">
        <v>83</v>
      </c>
      <c r="B207" s="303"/>
      <c r="C207" s="303"/>
      <c r="D207" s="303"/>
      <c r="E207" s="303"/>
    </row>
    <row r="208" spans="1:5" ht="15.75" x14ac:dyDescent="0.25">
      <c r="A208" s="14" t="s">
        <v>45</v>
      </c>
      <c r="B208" s="187" t="s">
        <v>47</v>
      </c>
      <c r="C208" s="24">
        <v>6500000</v>
      </c>
      <c r="D208" s="19">
        <v>7343046</v>
      </c>
      <c r="E208" s="23">
        <v>6500000</v>
      </c>
    </row>
    <row r="209" spans="1:5" ht="15.75" x14ac:dyDescent="0.25">
      <c r="A209" s="14" t="s">
        <v>62</v>
      </c>
      <c r="B209" s="187" t="s">
        <v>79</v>
      </c>
      <c r="C209" s="24">
        <v>10000</v>
      </c>
      <c r="D209" s="20">
        <v>0</v>
      </c>
      <c r="E209" s="24">
        <v>0</v>
      </c>
    </row>
    <row r="210" spans="1:5" ht="15.75" x14ac:dyDescent="0.25">
      <c r="A210" s="15" t="s">
        <v>12</v>
      </c>
      <c r="B210" s="187" t="s">
        <v>13</v>
      </c>
      <c r="C210" s="24">
        <v>100000</v>
      </c>
      <c r="D210" s="20">
        <v>0</v>
      </c>
      <c r="E210" s="24">
        <v>0</v>
      </c>
    </row>
    <row r="211" spans="1:5" ht="15.75" x14ac:dyDescent="0.25">
      <c r="A211" s="287" t="s">
        <v>10</v>
      </c>
      <c r="B211" s="287"/>
      <c r="C211" s="28">
        <f>SUM(C208:C210)</f>
        <v>6610000</v>
      </c>
      <c r="D211" s="28">
        <f t="shared" ref="D211:E211" si="24">SUM(D208:D210)</f>
        <v>7343046</v>
      </c>
      <c r="E211" s="28">
        <f t="shared" si="24"/>
        <v>6500000</v>
      </c>
    </row>
    <row r="212" spans="1:5" x14ac:dyDescent="0.25">
      <c r="B212" s="185"/>
      <c r="C212" s="229"/>
    </row>
    <row r="213" spans="1:5" ht="15.75" x14ac:dyDescent="0.25">
      <c r="A213" s="42" t="s">
        <v>84</v>
      </c>
      <c r="B213" s="46"/>
      <c r="C213" s="55">
        <f t="shared" ref="C213" si="25">C205+C211</f>
        <v>84217691</v>
      </c>
      <c r="D213" s="58">
        <f t="shared" ref="D213" si="26">D205+D211</f>
        <v>95256586</v>
      </c>
      <c r="E213" s="58">
        <f>E205+E211</f>
        <v>148508984</v>
      </c>
    </row>
    <row r="214" spans="1:5" x14ac:dyDescent="0.25">
      <c r="C214" s="142"/>
    </row>
    <row r="215" spans="1:5" x14ac:dyDescent="0.25">
      <c r="C215" s="170"/>
      <c r="E215" s="13"/>
    </row>
    <row r="216" spans="1:5" x14ac:dyDescent="0.25">
      <c r="C216" s="142"/>
    </row>
    <row r="217" spans="1:5" x14ac:dyDescent="0.25">
      <c r="C217" s="142"/>
    </row>
    <row r="218" spans="1:5" x14ac:dyDescent="0.25">
      <c r="C218" s="142"/>
    </row>
    <row r="219" spans="1:5" x14ac:dyDescent="0.25">
      <c r="C219" s="142"/>
    </row>
    <row r="220" spans="1:5" x14ac:dyDescent="0.25">
      <c r="C220" s="142"/>
    </row>
    <row r="221" spans="1:5" x14ac:dyDescent="0.25">
      <c r="C221" s="142"/>
    </row>
    <row r="222" spans="1:5" x14ac:dyDescent="0.25">
      <c r="C222" s="142"/>
    </row>
    <row r="223" spans="1:5" x14ac:dyDescent="0.25">
      <c r="C223" s="142"/>
    </row>
    <row r="224" spans="1:5" x14ac:dyDescent="0.25">
      <c r="C224" s="142"/>
    </row>
    <row r="225" spans="3:3" x14ac:dyDescent="0.25">
      <c r="C225" s="142"/>
    </row>
    <row r="226" spans="3:3" x14ac:dyDescent="0.25">
      <c r="C226" s="142"/>
    </row>
    <row r="227" spans="3:3" x14ac:dyDescent="0.25">
      <c r="C227" s="142"/>
    </row>
    <row r="228" spans="3:3" x14ac:dyDescent="0.25">
      <c r="C228" s="142"/>
    </row>
    <row r="235" spans="3:3" ht="15.75" customHeight="1" x14ac:dyDescent="0.25"/>
  </sheetData>
  <mergeCells count="55">
    <mergeCell ref="A151:B151"/>
    <mergeCell ref="A171:B171"/>
    <mergeCell ref="A161:B161"/>
    <mergeCell ref="A167:B167"/>
    <mergeCell ref="A157:B157"/>
    <mergeCell ref="A159:E159"/>
    <mergeCell ref="A211:B211"/>
    <mergeCell ref="A205:B205"/>
    <mergeCell ref="A189:B189"/>
    <mergeCell ref="A193:B193"/>
    <mergeCell ref="A181:B181"/>
    <mergeCell ref="A201:E201"/>
    <mergeCell ref="A207:E207"/>
    <mergeCell ref="A199:E199"/>
    <mergeCell ref="A149:E149"/>
    <mergeCell ref="A134:B134"/>
    <mergeCell ref="A104:B104"/>
    <mergeCell ref="A118:B118"/>
    <mergeCell ref="A107:B107"/>
    <mergeCell ref="A113:B113"/>
    <mergeCell ref="A110:B110"/>
    <mergeCell ref="A115:B115"/>
    <mergeCell ref="C122:C124"/>
    <mergeCell ref="A139:B139"/>
    <mergeCell ref="A88:B88"/>
    <mergeCell ref="A86:B86"/>
    <mergeCell ref="A91:B91"/>
    <mergeCell ref="A97:B97"/>
    <mergeCell ref="A131:B131"/>
    <mergeCell ref="A120:B120"/>
    <mergeCell ref="A121:B121"/>
    <mergeCell ref="A4:B4"/>
    <mergeCell ref="A16:B16"/>
    <mergeCell ref="A13:B13"/>
    <mergeCell ref="A24:B24"/>
    <mergeCell ref="A22:B22"/>
    <mergeCell ref="A23:B23"/>
    <mergeCell ref="A19:B19"/>
    <mergeCell ref="A10:E10"/>
    <mergeCell ref="A176:E176"/>
    <mergeCell ref="A184:E184"/>
    <mergeCell ref="A178:E178"/>
    <mergeCell ref="A164:E164"/>
    <mergeCell ref="A25:B25"/>
    <mergeCell ref="A36:B36"/>
    <mergeCell ref="A39:B39"/>
    <mergeCell ref="A41:B41"/>
    <mergeCell ref="A68:B68"/>
    <mergeCell ref="A49:B49"/>
    <mergeCell ref="A44:B44"/>
    <mergeCell ref="A52:B52"/>
    <mergeCell ref="A71:B71"/>
    <mergeCell ref="A101:B101"/>
    <mergeCell ref="A94:B94"/>
    <mergeCell ref="A83:B83"/>
  </mergeCells>
  <phoneticPr fontId="19" type="noConversion"/>
  <pageMargins left="0.11811023622047245" right="0.11811023622047245" top="0.74803149606299213" bottom="0.74803149606299213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J587"/>
  <sheetViews>
    <sheetView tabSelected="1" topLeftCell="A571" zoomScale="120" zoomScaleNormal="120" workbookViewId="0">
      <selection activeCell="C557" sqref="C557"/>
    </sheetView>
  </sheetViews>
  <sheetFormatPr defaultRowHeight="15.75" x14ac:dyDescent="0.25"/>
  <cols>
    <col min="1" max="1" width="9.140625" style="259"/>
    <col min="2" max="2" width="8.85546875" style="259" customWidth="1"/>
    <col min="3" max="3" width="68.42578125" style="259" customWidth="1"/>
    <col min="4" max="5" width="20" style="265" customWidth="1"/>
    <col min="6" max="6" width="22.5703125" style="259" bestFit="1" customWidth="1"/>
    <col min="7" max="7" width="25.42578125" style="259" customWidth="1"/>
    <col min="8" max="8" width="38.42578125" style="259" customWidth="1"/>
    <col min="9" max="261" width="22" style="259" customWidth="1"/>
    <col min="262" max="16384" width="9.140625" style="259"/>
  </cols>
  <sheetData>
    <row r="1" spans="1:10" x14ac:dyDescent="0.25">
      <c r="B1" s="1" t="s">
        <v>0</v>
      </c>
      <c r="C1" s="1"/>
      <c r="D1" s="172"/>
      <c r="E1" s="172"/>
      <c r="F1" s="59" t="s">
        <v>85</v>
      </c>
    </row>
    <row r="2" spans="1:10" x14ac:dyDescent="0.25">
      <c r="B2" s="1" t="s">
        <v>2</v>
      </c>
      <c r="C2" s="1"/>
      <c r="D2" s="173"/>
      <c r="E2" s="173"/>
      <c r="F2" s="60"/>
    </row>
    <row r="3" spans="1:10" x14ac:dyDescent="0.25">
      <c r="C3" s="5"/>
      <c r="D3" s="173"/>
      <c r="E3" s="173"/>
      <c r="F3" s="60"/>
    </row>
    <row r="4" spans="1:10" x14ac:dyDescent="0.25">
      <c r="B4" s="1" t="s">
        <v>371</v>
      </c>
      <c r="C4" s="1"/>
      <c r="D4" s="1"/>
      <c r="E4" s="1"/>
      <c r="F4" s="1"/>
    </row>
    <row r="5" spans="1:10" x14ac:dyDescent="0.25">
      <c r="C5" s="260"/>
      <c r="D5" s="173"/>
      <c r="E5" s="173"/>
      <c r="F5" s="60"/>
    </row>
    <row r="6" spans="1:10" ht="31.5" x14ac:dyDescent="0.25">
      <c r="B6" s="61" t="s">
        <v>3</v>
      </c>
      <c r="C6" s="61" t="s">
        <v>4</v>
      </c>
      <c r="D6" s="7" t="s">
        <v>414</v>
      </c>
      <c r="E6" s="7" t="s">
        <v>416</v>
      </c>
      <c r="F6" s="7" t="s">
        <v>364</v>
      </c>
      <c r="J6" s="39"/>
    </row>
    <row r="7" spans="1:10" x14ac:dyDescent="0.25">
      <c r="B7" s="1"/>
      <c r="C7" s="69"/>
      <c r="D7" s="173"/>
      <c r="E7" s="173"/>
      <c r="F7" s="60"/>
    </row>
    <row r="8" spans="1:10" x14ac:dyDescent="0.25">
      <c r="B8" s="1"/>
      <c r="C8" s="1"/>
      <c r="D8" s="173"/>
      <c r="E8" s="173"/>
      <c r="F8" s="60"/>
    </row>
    <row r="9" spans="1:10" x14ac:dyDescent="0.25">
      <c r="B9" s="261" t="s">
        <v>86</v>
      </c>
      <c r="C9" s="261"/>
      <c r="D9" s="261"/>
      <c r="E9" s="261"/>
      <c r="F9" s="261"/>
    </row>
    <row r="10" spans="1:10" x14ac:dyDescent="0.25">
      <c r="B10" s="35"/>
      <c r="C10" s="35"/>
      <c r="D10" s="173"/>
      <c r="E10" s="173"/>
      <c r="F10" s="60"/>
    </row>
    <row r="11" spans="1:10" x14ac:dyDescent="0.25">
      <c r="B11" s="35"/>
      <c r="C11" s="146"/>
      <c r="D11" s="173"/>
      <c r="E11" s="173"/>
      <c r="F11" s="60"/>
    </row>
    <row r="12" spans="1:10" x14ac:dyDescent="0.25">
      <c r="B12" s="61" t="s">
        <v>6</v>
      </c>
      <c r="C12" s="61"/>
      <c r="D12" s="61"/>
      <c r="E12" s="61"/>
      <c r="F12" s="61"/>
      <c r="G12" s="262"/>
      <c r="H12" s="263"/>
    </row>
    <row r="13" spans="1:10" x14ac:dyDescent="0.25">
      <c r="B13" s="14" t="s">
        <v>87</v>
      </c>
      <c r="C13" s="14" t="s">
        <v>511</v>
      </c>
      <c r="D13" s="23">
        <v>34366000</v>
      </c>
      <c r="E13" s="19">
        <v>32020366</v>
      </c>
      <c r="F13" s="23">
        <v>32000000</v>
      </c>
      <c r="G13" s="262"/>
      <c r="H13" s="262"/>
    </row>
    <row r="14" spans="1:10" x14ac:dyDescent="0.25">
      <c r="A14" s="265"/>
      <c r="B14" s="14" t="s">
        <v>87</v>
      </c>
      <c r="C14" s="14" t="s">
        <v>498</v>
      </c>
      <c r="D14" s="19">
        <v>0</v>
      </c>
      <c r="E14" s="19">
        <v>0</v>
      </c>
      <c r="F14" s="19">
        <v>1000000</v>
      </c>
      <c r="G14" s="262"/>
      <c r="H14" s="262"/>
    </row>
    <row r="15" spans="1:10" x14ac:dyDescent="0.25">
      <c r="A15" s="265"/>
      <c r="B15" s="14" t="s">
        <v>88</v>
      </c>
      <c r="C15" s="38" t="s">
        <v>425</v>
      </c>
      <c r="D15" s="18">
        <v>0</v>
      </c>
      <c r="E15" s="19">
        <v>0</v>
      </c>
      <c r="F15" s="19">
        <v>1463673</v>
      </c>
      <c r="G15" s="262"/>
      <c r="H15" s="262"/>
    </row>
    <row r="16" spans="1:10" x14ac:dyDescent="0.25">
      <c r="A16" s="265"/>
      <c r="B16" s="14" t="s">
        <v>89</v>
      </c>
      <c r="C16" s="38" t="s">
        <v>318</v>
      </c>
      <c r="D16" s="20">
        <v>3840000</v>
      </c>
      <c r="E16" s="20">
        <v>3845400</v>
      </c>
      <c r="F16" s="20">
        <v>4000000</v>
      </c>
      <c r="G16" s="263"/>
      <c r="H16" s="262"/>
    </row>
    <row r="17" spans="1:8" x14ac:dyDescent="0.25">
      <c r="A17" s="265"/>
      <c r="B17" s="61" t="s">
        <v>90</v>
      </c>
      <c r="C17" s="117" t="s">
        <v>91</v>
      </c>
      <c r="D17" s="129">
        <f t="shared" ref="D17" si="0">SUM(D13:D16)</f>
        <v>38206000</v>
      </c>
      <c r="E17" s="129">
        <f t="shared" ref="E17" si="1">SUM(E13:E16)</f>
        <v>35865766</v>
      </c>
      <c r="F17" s="129">
        <f>SUM(F13:F16)</f>
        <v>38463673</v>
      </c>
      <c r="G17" s="262"/>
      <c r="H17" s="262"/>
    </row>
    <row r="18" spans="1:8" x14ac:dyDescent="0.25">
      <c r="A18" s="265"/>
      <c r="B18" s="61" t="s">
        <v>92</v>
      </c>
      <c r="C18" s="117" t="s">
        <v>93</v>
      </c>
      <c r="D18" s="80">
        <v>4966780</v>
      </c>
      <c r="E18" s="80">
        <v>4186822</v>
      </c>
      <c r="F18" s="80">
        <f>F17*0.13-F19</f>
        <v>4720277.49</v>
      </c>
      <c r="G18" s="262"/>
      <c r="H18" s="262"/>
    </row>
    <row r="19" spans="1:8" x14ac:dyDescent="0.25">
      <c r="A19" s="265"/>
      <c r="B19" s="61" t="s">
        <v>141</v>
      </c>
      <c r="C19" s="61" t="s">
        <v>497</v>
      </c>
      <c r="D19" s="80">
        <v>0</v>
      </c>
      <c r="E19" s="80">
        <v>0</v>
      </c>
      <c r="F19" s="80">
        <v>280000</v>
      </c>
      <c r="G19" s="262"/>
      <c r="H19" s="262"/>
    </row>
    <row r="20" spans="1:8" x14ac:dyDescent="0.25">
      <c r="A20" s="265"/>
      <c r="B20" s="14" t="s">
        <v>94</v>
      </c>
      <c r="C20" s="38" t="s">
        <v>306</v>
      </c>
      <c r="D20" s="20">
        <v>1560000</v>
      </c>
      <c r="E20" s="20">
        <v>1690000</v>
      </c>
      <c r="F20" s="20">
        <v>0</v>
      </c>
      <c r="G20" s="262"/>
      <c r="H20" s="262"/>
    </row>
    <row r="21" spans="1:8" x14ac:dyDescent="0.25">
      <c r="B21" s="14" t="s">
        <v>95</v>
      </c>
      <c r="C21" s="38" t="s">
        <v>512</v>
      </c>
      <c r="D21" s="24">
        <f>1800000+2700000+1750000</f>
        <v>6250000</v>
      </c>
      <c r="E21" s="20">
        <v>4000000</v>
      </c>
      <c r="F21" s="24">
        <v>4000000</v>
      </c>
      <c r="G21" s="262"/>
      <c r="H21" s="262"/>
    </row>
    <row r="22" spans="1:8" x14ac:dyDescent="0.25">
      <c r="B22" s="14" t="s">
        <v>96</v>
      </c>
      <c r="C22" s="38" t="s">
        <v>97</v>
      </c>
      <c r="D22" s="24">
        <v>2109000</v>
      </c>
      <c r="E22" s="20">
        <v>1080000</v>
      </c>
      <c r="F22" s="23">
        <f>(F20+F21)*0.27</f>
        <v>1080000</v>
      </c>
      <c r="G22" s="262"/>
      <c r="H22" s="262"/>
    </row>
    <row r="23" spans="1:8" x14ac:dyDescent="0.25">
      <c r="B23" s="61" t="s">
        <v>98</v>
      </c>
      <c r="C23" s="117" t="s">
        <v>99</v>
      </c>
      <c r="D23" s="64">
        <f>SUM(D20:D22)</f>
        <v>9919000</v>
      </c>
      <c r="E23" s="174">
        <f t="shared" ref="E23" si="2">SUM(E20:E22)</f>
        <v>6770000</v>
      </c>
      <c r="F23" s="66">
        <f>SUM(F20:F22)</f>
        <v>5080000</v>
      </c>
      <c r="G23" s="262"/>
      <c r="H23" s="262"/>
    </row>
    <row r="24" spans="1:8" x14ac:dyDescent="0.25">
      <c r="B24" s="148" t="s">
        <v>100</v>
      </c>
      <c r="C24" s="148"/>
      <c r="D24" s="67">
        <f t="shared" ref="D24" si="3">D17+D18+D23</f>
        <v>53091780</v>
      </c>
      <c r="E24" s="28">
        <f t="shared" ref="E24" si="4">E17+E18+E23</f>
        <v>46822588</v>
      </c>
      <c r="F24" s="28">
        <f>F17+F18+F23+F19</f>
        <v>48543950.490000002</v>
      </c>
      <c r="G24" s="262"/>
      <c r="H24" s="262"/>
    </row>
    <row r="25" spans="1:8" x14ac:dyDescent="0.25">
      <c r="B25" s="69"/>
      <c r="C25" s="69"/>
      <c r="D25" s="175"/>
      <c r="E25" s="175"/>
      <c r="F25" s="3"/>
      <c r="G25" s="262"/>
      <c r="H25" s="264"/>
    </row>
    <row r="26" spans="1:8" x14ac:dyDescent="0.25">
      <c r="B26" s="70"/>
      <c r="C26" s="70"/>
      <c r="D26" s="175"/>
      <c r="E26" s="175"/>
      <c r="F26" s="3"/>
    </row>
    <row r="27" spans="1:8" x14ac:dyDescent="0.25">
      <c r="B27" s="117" t="s">
        <v>101</v>
      </c>
      <c r="C27" s="118"/>
      <c r="D27" s="147"/>
      <c r="E27" s="147"/>
      <c r="F27" s="147"/>
      <c r="H27" s="263"/>
    </row>
    <row r="28" spans="1:8" x14ac:dyDescent="0.25">
      <c r="B28" s="71" t="s">
        <v>102</v>
      </c>
      <c r="C28" s="38" t="s">
        <v>426</v>
      </c>
      <c r="D28" s="19">
        <v>10000</v>
      </c>
      <c r="E28" s="19">
        <v>5378</v>
      </c>
      <c r="F28" s="19">
        <v>10000</v>
      </c>
    </row>
    <row r="29" spans="1:8" x14ac:dyDescent="0.25">
      <c r="B29" s="14" t="s">
        <v>104</v>
      </c>
      <c r="C29" s="38" t="s">
        <v>105</v>
      </c>
      <c r="D29" s="19">
        <v>137672600</v>
      </c>
      <c r="E29" s="19">
        <v>117644487</v>
      </c>
      <c r="F29" s="19">
        <v>0</v>
      </c>
      <c r="H29" s="262"/>
    </row>
    <row r="30" spans="1:8" x14ac:dyDescent="0.25">
      <c r="B30" s="14" t="s">
        <v>106</v>
      </c>
      <c r="C30" s="38" t="s">
        <v>107</v>
      </c>
      <c r="D30" s="19">
        <v>0</v>
      </c>
      <c r="E30" s="19">
        <v>6746826</v>
      </c>
      <c r="F30" s="19">
        <v>0</v>
      </c>
    </row>
    <row r="31" spans="1:8" x14ac:dyDescent="0.25">
      <c r="B31" s="148" t="s">
        <v>100</v>
      </c>
      <c r="C31" s="148"/>
      <c r="D31" s="132">
        <f>SUM(D28:D30)</f>
        <v>137682600</v>
      </c>
      <c r="E31" s="132">
        <f>SUM(E28:E30)</f>
        <v>124396691</v>
      </c>
      <c r="F31" s="72">
        <f>SUM(F28:F30)</f>
        <v>10000</v>
      </c>
      <c r="G31" s="262"/>
    </row>
    <row r="32" spans="1:8" x14ac:dyDescent="0.25">
      <c r="B32" s="69"/>
      <c r="C32" s="69"/>
      <c r="D32" s="175"/>
      <c r="E32" s="175"/>
      <c r="F32" s="3"/>
    </row>
    <row r="33" spans="2:7" x14ac:dyDescent="0.25">
      <c r="B33" s="1"/>
      <c r="C33" s="1"/>
      <c r="D33" s="175"/>
      <c r="E33" s="175"/>
      <c r="F33" s="3"/>
    </row>
    <row r="34" spans="2:7" x14ac:dyDescent="0.25">
      <c r="B34" s="61" t="s">
        <v>108</v>
      </c>
      <c r="C34" s="61"/>
      <c r="D34" s="61"/>
      <c r="E34" s="61"/>
      <c r="F34" s="61"/>
    </row>
    <row r="35" spans="2:7" x14ac:dyDescent="0.25">
      <c r="B35" s="14" t="s">
        <v>104</v>
      </c>
      <c r="C35" s="38" t="s">
        <v>427</v>
      </c>
      <c r="D35" s="19">
        <v>365609760</v>
      </c>
      <c r="E35" s="19">
        <v>365609760</v>
      </c>
      <c r="F35" s="19">
        <v>374191890</v>
      </c>
    </row>
    <row r="36" spans="2:7" x14ac:dyDescent="0.25">
      <c r="B36" s="14" t="s">
        <v>106</v>
      </c>
      <c r="C36" s="14" t="s">
        <v>25</v>
      </c>
      <c r="D36" s="19">
        <v>6746826</v>
      </c>
      <c r="E36" s="19">
        <v>510484728</v>
      </c>
      <c r="F36" s="79">
        <v>10039668</v>
      </c>
    </row>
    <row r="37" spans="2:7" x14ac:dyDescent="0.25">
      <c r="B37" s="148" t="s">
        <v>100</v>
      </c>
      <c r="C37" s="148"/>
      <c r="D37" s="28">
        <f>SUM(D35:D36)</f>
        <v>372356586</v>
      </c>
      <c r="E37" s="28">
        <f>SUM(E35:E36)</f>
        <v>876094488</v>
      </c>
      <c r="F37" s="28">
        <f>SUM(F35:F36)</f>
        <v>384231558</v>
      </c>
    </row>
    <row r="38" spans="2:7" x14ac:dyDescent="0.25">
      <c r="B38" s="1"/>
      <c r="C38" s="1"/>
      <c r="D38" s="175"/>
      <c r="E38" s="175"/>
      <c r="F38" s="3"/>
    </row>
    <row r="39" spans="2:7" x14ac:dyDescent="0.25">
      <c r="B39" s="70"/>
      <c r="C39" s="1"/>
      <c r="D39" s="175"/>
      <c r="E39" s="175"/>
      <c r="F39" s="3"/>
    </row>
    <row r="40" spans="2:7" x14ac:dyDescent="0.25">
      <c r="B40" s="117" t="s">
        <v>76</v>
      </c>
      <c r="C40" s="61"/>
      <c r="D40" s="61"/>
      <c r="E40" s="61"/>
      <c r="F40" s="61"/>
    </row>
    <row r="41" spans="2:7" x14ac:dyDescent="0.25">
      <c r="B41" s="21" t="s">
        <v>102</v>
      </c>
      <c r="C41" s="14" t="s">
        <v>428</v>
      </c>
      <c r="D41" s="238">
        <v>0</v>
      </c>
      <c r="E41" s="73">
        <v>50</v>
      </c>
      <c r="F41" s="73">
        <v>10000</v>
      </c>
    </row>
    <row r="42" spans="2:7" x14ac:dyDescent="0.25">
      <c r="B42" s="194" t="s">
        <v>98</v>
      </c>
      <c r="C42" s="61" t="s">
        <v>109</v>
      </c>
      <c r="D42" s="202">
        <f>SUM(D41)</f>
        <v>0</v>
      </c>
      <c r="E42" s="74">
        <f t="shared" ref="E42" si="5">SUM(E41)</f>
        <v>50</v>
      </c>
      <c r="F42" s="74">
        <f t="shared" ref="F42" si="6">SUM(F41)</f>
        <v>10000</v>
      </c>
      <c r="G42" s="138"/>
    </row>
    <row r="43" spans="2:7" x14ac:dyDescent="0.25">
      <c r="B43" s="61" t="s">
        <v>110</v>
      </c>
      <c r="C43" s="14" t="s">
        <v>111</v>
      </c>
      <c r="D43" s="19">
        <v>600000</v>
      </c>
      <c r="E43" s="19">
        <v>0</v>
      </c>
      <c r="F43" s="19">
        <v>0</v>
      </c>
    </row>
    <row r="44" spans="2:7" x14ac:dyDescent="0.25">
      <c r="B44" s="14"/>
      <c r="C44" s="14" t="s">
        <v>112</v>
      </c>
      <c r="D44" s="19">
        <v>800000</v>
      </c>
      <c r="E44" s="193" t="s">
        <v>335</v>
      </c>
      <c r="F44" s="19">
        <v>800000</v>
      </c>
    </row>
    <row r="45" spans="2:7" x14ac:dyDescent="0.25">
      <c r="B45" s="14"/>
      <c r="C45" s="14" t="s">
        <v>113</v>
      </c>
      <c r="D45" s="19">
        <v>250000</v>
      </c>
      <c r="E45" s="193">
        <v>400000</v>
      </c>
      <c r="F45" s="19">
        <v>250000</v>
      </c>
    </row>
    <row r="46" spans="2:7" x14ac:dyDescent="0.25">
      <c r="B46" s="14"/>
      <c r="C46" s="14" t="s">
        <v>114</v>
      </c>
      <c r="D46" s="19">
        <v>1300000</v>
      </c>
      <c r="E46" s="193">
        <v>2953610</v>
      </c>
      <c r="F46" s="19">
        <v>3000000</v>
      </c>
    </row>
    <row r="47" spans="2:7" x14ac:dyDescent="0.25">
      <c r="B47" s="14"/>
      <c r="C47" s="14" t="s">
        <v>115</v>
      </c>
      <c r="D47" s="19">
        <v>150000</v>
      </c>
      <c r="E47" s="192">
        <v>0</v>
      </c>
      <c r="F47" s="19">
        <v>50000</v>
      </c>
    </row>
    <row r="48" spans="2:7" x14ac:dyDescent="0.25">
      <c r="B48" s="14"/>
      <c r="C48" s="14" t="s">
        <v>116</v>
      </c>
      <c r="D48" s="19">
        <v>150000</v>
      </c>
      <c r="E48" s="192">
        <v>0</v>
      </c>
      <c r="F48" s="19">
        <v>50000</v>
      </c>
    </row>
    <row r="49" spans="2:6" x14ac:dyDescent="0.25">
      <c r="B49" s="14"/>
      <c r="C49" s="14" t="s">
        <v>117</v>
      </c>
      <c r="D49" s="19">
        <v>150000</v>
      </c>
      <c r="E49" s="192">
        <v>0</v>
      </c>
      <c r="F49" s="19">
        <v>50000</v>
      </c>
    </row>
    <row r="50" spans="2:6" x14ac:dyDescent="0.25">
      <c r="B50" s="14"/>
      <c r="C50" s="14" t="s">
        <v>118</v>
      </c>
      <c r="D50" s="19">
        <v>500000</v>
      </c>
      <c r="E50" s="192">
        <v>500000</v>
      </c>
      <c r="F50" s="19">
        <v>500000</v>
      </c>
    </row>
    <row r="51" spans="2:6" x14ac:dyDescent="0.25">
      <c r="B51" s="14"/>
      <c r="C51" s="14" t="s">
        <v>429</v>
      </c>
      <c r="D51" s="19">
        <v>3805676</v>
      </c>
      <c r="E51" s="192">
        <v>2905676</v>
      </c>
      <c r="F51" s="19">
        <v>5800000</v>
      </c>
    </row>
    <row r="52" spans="2:6" s="265" customFormat="1" x14ac:dyDescent="0.25">
      <c r="B52" s="14"/>
      <c r="C52" s="14" t="s">
        <v>430</v>
      </c>
      <c r="D52" s="312">
        <v>6023700</v>
      </c>
      <c r="E52" s="192">
        <v>3575330</v>
      </c>
      <c r="F52" s="19">
        <v>4000000</v>
      </c>
    </row>
    <row r="53" spans="2:6" x14ac:dyDescent="0.25">
      <c r="B53" s="14"/>
      <c r="C53" s="14" t="s">
        <v>431</v>
      </c>
      <c r="D53" s="313"/>
      <c r="E53" s="192">
        <v>5476090</v>
      </c>
      <c r="F53" s="19">
        <v>0</v>
      </c>
    </row>
    <row r="54" spans="2:6" x14ac:dyDescent="0.25">
      <c r="B54" s="14"/>
      <c r="C54" s="14" t="s">
        <v>432</v>
      </c>
      <c r="D54" s="192">
        <v>12000000</v>
      </c>
      <c r="E54" s="192">
        <v>13079500</v>
      </c>
      <c r="F54" s="19">
        <v>12000000</v>
      </c>
    </row>
    <row r="55" spans="2:6" x14ac:dyDescent="0.25">
      <c r="B55" s="14"/>
      <c r="C55" s="14" t="s">
        <v>119</v>
      </c>
      <c r="D55" s="192">
        <v>150000</v>
      </c>
      <c r="E55" s="192">
        <v>0</v>
      </c>
      <c r="F55" s="19">
        <v>50000</v>
      </c>
    </row>
    <row r="56" spans="2:6" x14ac:dyDescent="0.25">
      <c r="B56" s="14"/>
      <c r="C56" s="150" t="s">
        <v>120</v>
      </c>
      <c r="D56" s="192">
        <v>10000</v>
      </c>
      <c r="E56" s="192">
        <v>0</v>
      </c>
      <c r="F56" s="19">
        <v>50000</v>
      </c>
    </row>
    <row r="57" spans="2:6" x14ac:dyDescent="0.25">
      <c r="B57" s="14"/>
      <c r="C57" s="150" t="s">
        <v>433</v>
      </c>
      <c r="D57" s="192">
        <v>500000</v>
      </c>
      <c r="E57" s="192">
        <v>1533984</v>
      </c>
      <c r="F57" s="19">
        <v>1200000</v>
      </c>
    </row>
    <row r="58" spans="2:6" x14ac:dyDescent="0.25">
      <c r="B58" s="14"/>
      <c r="C58" s="150" t="s">
        <v>121</v>
      </c>
      <c r="D58" s="192">
        <v>577980</v>
      </c>
      <c r="E58" s="192">
        <v>577980</v>
      </c>
      <c r="F58" s="19">
        <v>600000</v>
      </c>
    </row>
    <row r="59" spans="2:6" x14ac:dyDescent="0.25">
      <c r="B59" s="14"/>
      <c r="C59" s="150" t="s">
        <v>513</v>
      </c>
      <c r="D59" s="192">
        <v>670000</v>
      </c>
      <c r="E59" s="192"/>
      <c r="F59" s="19">
        <v>1000000</v>
      </c>
    </row>
    <row r="60" spans="2:6" x14ac:dyDescent="0.25">
      <c r="B60" s="14"/>
      <c r="C60" s="208" t="s">
        <v>337</v>
      </c>
      <c r="D60" s="82">
        <f>SUM(D43:D59)</f>
        <v>27637356</v>
      </c>
      <c r="E60" s="82">
        <f>SUM(E42:E58)</f>
        <v>31002220</v>
      </c>
      <c r="F60" s="82">
        <f>SUM(F43:F59)</f>
        <v>29400000</v>
      </c>
    </row>
    <row r="61" spans="2:6" x14ac:dyDescent="0.25">
      <c r="B61" s="61" t="s">
        <v>122</v>
      </c>
      <c r="C61" s="14" t="s">
        <v>514</v>
      </c>
      <c r="D61" s="192">
        <v>24557500</v>
      </c>
      <c r="E61" s="192">
        <v>18000000</v>
      </c>
      <c r="F61" s="19">
        <v>20000000</v>
      </c>
    </row>
    <row r="62" spans="2:6" s="265" customFormat="1" x14ac:dyDescent="0.25">
      <c r="B62" s="61"/>
      <c r="C62" s="14" t="s">
        <v>386</v>
      </c>
      <c r="D62" s="193">
        <v>0</v>
      </c>
      <c r="E62" s="193"/>
      <c r="F62" s="19">
        <v>10000000</v>
      </c>
    </row>
    <row r="63" spans="2:6" x14ac:dyDescent="0.25">
      <c r="B63" s="61"/>
      <c r="C63" s="14" t="s">
        <v>377</v>
      </c>
      <c r="D63" s="192">
        <v>0</v>
      </c>
      <c r="E63" s="192"/>
      <c r="F63" s="19">
        <v>37007073</v>
      </c>
    </row>
    <row r="64" spans="2:6" x14ac:dyDescent="0.25">
      <c r="B64" s="61"/>
      <c r="C64" s="14" t="s">
        <v>515</v>
      </c>
      <c r="D64" s="192">
        <v>0</v>
      </c>
      <c r="E64" s="192"/>
      <c r="F64" s="19">
        <v>19368422</v>
      </c>
    </row>
    <row r="65" spans="2:6" x14ac:dyDescent="0.25">
      <c r="B65" s="61"/>
      <c r="C65" s="14" t="s">
        <v>379</v>
      </c>
      <c r="D65" s="192">
        <v>0</v>
      </c>
      <c r="E65" s="192"/>
      <c r="F65" s="19">
        <v>800000</v>
      </c>
    </row>
    <row r="66" spans="2:6" x14ac:dyDescent="0.25">
      <c r="B66" s="75"/>
      <c r="C66" s="75" t="s">
        <v>434</v>
      </c>
      <c r="D66" s="192">
        <v>13727660</v>
      </c>
      <c r="E66" s="192">
        <v>16327660</v>
      </c>
      <c r="F66" s="19">
        <v>20000000</v>
      </c>
    </row>
    <row r="67" spans="2:6" x14ac:dyDescent="0.25">
      <c r="B67" s="75"/>
      <c r="C67" s="195" t="s">
        <v>516</v>
      </c>
      <c r="D67" s="192">
        <v>0</v>
      </c>
      <c r="E67" s="192">
        <v>1000000</v>
      </c>
      <c r="F67" s="19">
        <v>1100000</v>
      </c>
    </row>
    <row r="68" spans="2:6" x14ac:dyDescent="0.25">
      <c r="B68" s="75"/>
      <c r="C68" s="195" t="s">
        <v>517</v>
      </c>
      <c r="D68" s="192">
        <v>0</v>
      </c>
      <c r="E68" s="192"/>
      <c r="F68" s="19">
        <v>15000000</v>
      </c>
    </row>
    <row r="69" spans="2:6" s="266" customFormat="1" x14ac:dyDescent="0.25">
      <c r="B69" s="76"/>
      <c r="C69" s="76" t="s">
        <v>435</v>
      </c>
      <c r="D69" s="192">
        <v>15000000</v>
      </c>
      <c r="E69" s="192">
        <v>18150000</v>
      </c>
      <c r="F69" s="77">
        <v>18150000</v>
      </c>
    </row>
    <row r="70" spans="2:6" s="266" customFormat="1" x14ac:dyDescent="0.25">
      <c r="B70" s="76"/>
      <c r="C70" s="76" t="s">
        <v>423</v>
      </c>
      <c r="D70" s="192"/>
      <c r="E70" s="192"/>
      <c r="F70" s="77">
        <v>10000000</v>
      </c>
    </row>
    <row r="71" spans="2:6" s="266" customFormat="1" x14ac:dyDescent="0.25">
      <c r="B71" s="76"/>
      <c r="C71" s="76" t="s">
        <v>424</v>
      </c>
      <c r="D71" s="192"/>
      <c r="E71" s="192"/>
      <c r="F71" s="77">
        <v>631578</v>
      </c>
    </row>
    <row r="72" spans="2:6" s="266" customFormat="1" x14ac:dyDescent="0.25">
      <c r="B72" s="76"/>
      <c r="C72" s="76" t="s">
        <v>413</v>
      </c>
      <c r="D72" s="192">
        <v>0</v>
      </c>
      <c r="E72" s="192"/>
      <c r="F72" s="77">
        <v>150000</v>
      </c>
    </row>
    <row r="73" spans="2:6" s="266" customFormat="1" ht="30.75" x14ac:dyDescent="0.25">
      <c r="B73" s="76"/>
      <c r="C73" s="76" t="s">
        <v>378</v>
      </c>
      <c r="D73" s="192">
        <v>0</v>
      </c>
      <c r="E73" s="192"/>
      <c r="F73" s="77">
        <v>1000000</v>
      </c>
    </row>
    <row r="74" spans="2:6" x14ac:dyDescent="0.25">
      <c r="B74" s="75"/>
      <c r="C74" s="14" t="s">
        <v>123</v>
      </c>
      <c r="D74" s="192">
        <v>300000</v>
      </c>
      <c r="E74" s="192">
        <v>0</v>
      </c>
      <c r="F74" s="19">
        <v>500000</v>
      </c>
    </row>
    <row r="75" spans="2:6" x14ac:dyDescent="0.25">
      <c r="B75" s="75"/>
      <c r="C75" s="150" t="s">
        <v>124</v>
      </c>
      <c r="D75" s="192">
        <v>50000</v>
      </c>
      <c r="E75" s="192">
        <v>50000</v>
      </c>
      <c r="F75" s="19">
        <v>50000</v>
      </c>
    </row>
    <row r="76" spans="2:6" x14ac:dyDescent="0.25">
      <c r="B76" s="75"/>
      <c r="C76" s="150" t="s">
        <v>125</v>
      </c>
      <c r="D76" s="192">
        <v>441205</v>
      </c>
      <c r="E76" s="192">
        <v>441205</v>
      </c>
      <c r="F76" s="19">
        <v>458853</v>
      </c>
    </row>
    <row r="77" spans="2:6" x14ac:dyDescent="0.25">
      <c r="B77" s="75"/>
      <c r="C77" s="150" t="s">
        <v>126</v>
      </c>
      <c r="D77" s="192">
        <v>1000000</v>
      </c>
      <c r="E77" s="192">
        <v>1100000</v>
      </c>
      <c r="F77" s="19">
        <v>500000</v>
      </c>
    </row>
    <row r="78" spans="2:6" x14ac:dyDescent="0.25">
      <c r="B78" s="14"/>
      <c r="C78" s="150" t="s">
        <v>518</v>
      </c>
      <c r="D78" s="192">
        <v>0</v>
      </c>
      <c r="E78" s="192">
        <v>6710141</v>
      </c>
      <c r="F78" s="19">
        <v>7000000</v>
      </c>
    </row>
    <row r="79" spans="2:6" x14ac:dyDescent="0.25">
      <c r="B79" s="14"/>
      <c r="C79" s="208" t="s">
        <v>337</v>
      </c>
      <c r="D79" s="196">
        <f>SUM(D61:D78)</f>
        <v>55076365</v>
      </c>
      <c r="E79" s="196">
        <f>SUM(E61:E78)</f>
        <v>61779006</v>
      </c>
      <c r="F79" s="196">
        <f>SUM(F61:F78)</f>
        <v>161715926</v>
      </c>
    </row>
    <row r="80" spans="2:6" x14ac:dyDescent="0.25">
      <c r="B80" s="78" t="s">
        <v>127</v>
      </c>
      <c r="C80" s="197" t="s">
        <v>128</v>
      </c>
      <c r="D80" s="198">
        <f>D79+D60</f>
        <v>82713721</v>
      </c>
      <c r="E80" s="198">
        <f>E79+E60</f>
        <v>92781226</v>
      </c>
      <c r="F80" s="198">
        <f>F79+F60</f>
        <v>191115926</v>
      </c>
    </row>
    <row r="81" spans="1:6" x14ac:dyDescent="0.25">
      <c r="B81" s="14" t="s">
        <v>129</v>
      </c>
      <c r="C81" s="14" t="s">
        <v>519</v>
      </c>
      <c r="D81" s="19">
        <v>395578680</v>
      </c>
      <c r="E81" s="19">
        <v>452395780</v>
      </c>
      <c r="F81" s="19">
        <v>538440029</v>
      </c>
    </row>
    <row r="82" spans="1:6" x14ac:dyDescent="0.25">
      <c r="B82" s="61" t="s">
        <v>130</v>
      </c>
      <c r="C82" s="61" t="s">
        <v>131</v>
      </c>
      <c r="D82" s="82">
        <f>SUM(D81)</f>
        <v>395578680</v>
      </c>
      <c r="E82" s="82">
        <f>SUM(E81)</f>
        <v>452395780</v>
      </c>
      <c r="F82" s="82">
        <f>SUM(F81)</f>
        <v>538440029</v>
      </c>
    </row>
    <row r="83" spans="1:6" x14ac:dyDescent="0.25">
      <c r="B83" s="148" t="s">
        <v>100</v>
      </c>
      <c r="C83" s="148"/>
      <c r="D83" s="28">
        <f>D80+D82+D42</f>
        <v>478292401</v>
      </c>
      <c r="E83" s="28">
        <f>E80+E82+E42</f>
        <v>545177056</v>
      </c>
      <c r="F83" s="28">
        <f>F80+F82+F42</f>
        <v>729565955</v>
      </c>
    </row>
    <row r="84" spans="1:6" x14ac:dyDescent="0.25">
      <c r="B84" s="69"/>
      <c r="C84" s="69"/>
      <c r="D84" s="175"/>
      <c r="E84" s="175"/>
      <c r="F84" s="3"/>
    </row>
    <row r="85" spans="1:6" x14ac:dyDescent="0.25">
      <c r="B85" s="70"/>
      <c r="C85" s="70"/>
      <c r="D85" s="175"/>
      <c r="E85" s="175"/>
      <c r="F85" s="3"/>
    </row>
    <row r="86" spans="1:6" x14ac:dyDescent="0.25">
      <c r="B86" s="61" t="s">
        <v>132</v>
      </c>
      <c r="C86" s="61"/>
      <c r="D86" s="61"/>
      <c r="E86" s="61"/>
      <c r="F86" s="61"/>
    </row>
    <row r="87" spans="1:6" x14ac:dyDescent="0.25">
      <c r="B87" s="14" t="s">
        <v>133</v>
      </c>
      <c r="C87" s="14" t="s">
        <v>134</v>
      </c>
      <c r="D87" s="62">
        <v>21621600</v>
      </c>
      <c r="E87" s="94">
        <v>22708800</v>
      </c>
      <c r="F87" s="62">
        <v>31232160</v>
      </c>
    </row>
    <row r="88" spans="1:6" x14ac:dyDescent="0.25">
      <c r="B88" s="14" t="s">
        <v>135</v>
      </c>
      <c r="C88" s="14" t="s">
        <v>136</v>
      </c>
      <c r="D88" s="62">
        <v>201000</v>
      </c>
      <c r="E88" s="94">
        <v>261000</v>
      </c>
      <c r="F88" s="94">
        <v>0</v>
      </c>
    </row>
    <row r="89" spans="1:6" x14ac:dyDescent="0.25">
      <c r="A89" s="265"/>
      <c r="B89" s="14" t="s">
        <v>280</v>
      </c>
      <c r="C89" s="14" t="s">
        <v>496</v>
      </c>
      <c r="D89" s="94">
        <v>0</v>
      </c>
      <c r="E89" s="94">
        <v>0</v>
      </c>
      <c r="F89" s="94">
        <v>1000000</v>
      </c>
    </row>
    <row r="90" spans="1:6" x14ac:dyDescent="0.25">
      <c r="A90" s="265"/>
      <c r="B90" s="14" t="s">
        <v>88</v>
      </c>
      <c r="C90" s="14" t="s">
        <v>436</v>
      </c>
      <c r="D90" s="94">
        <v>48000</v>
      </c>
      <c r="E90" s="94">
        <v>1226725</v>
      </c>
      <c r="F90" s="177">
        <v>900000</v>
      </c>
    </row>
    <row r="91" spans="1:6" x14ac:dyDescent="0.25">
      <c r="A91" s="265"/>
      <c r="B91" s="14" t="s">
        <v>137</v>
      </c>
      <c r="C91" s="14" t="s">
        <v>437</v>
      </c>
      <c r="D91" s="94">
        <v>2587500</v>
      </c>
      <c r="E91" s="94">
        <v>2232920</v>
      </c>
      <c r="F91" s="94">
        <v>500000</v>
      </c>
    </row>
    <row r="92" spans="1:6" x14ac:dyDescent="0.25">
      <c r="A92" s="265"/>
      <c r="B92" s="14" t="s">
        <v>89</v>
      </c>
      <c r="C92" s="14" t="s">
        <v>438</v>
      </c>
      <c r="D92" s="94">
        <v>100000</v>
      </c>
      <c r="E92" s="94">
        <v>121960</v>
      </c>
      <c r="F92" s="177">
        <v>50000</v>
      </c>
    </row>
    <row r="93" spans="1:6" x14ac:dyDescent="0.25">
      <c r="A93" s="265"/>
      <c r="B93" s="61" t="s">
        <v>139</v>
      </c>
      <c r="C93" s="61" t="s">
        <v>140</v>
      </c>
      <c r="D93" s="276">
        <f t="shared" ref="D93" si="7">SUM(D87:D92)</f>
        <v>24558100</v>
      </c>
      <c r="E93" s="130">
        <f t="shared" ref="E93" si="8">SUM(E87:E92)</f>
        <v>26551405</v>
      </c>
      <c r="F93" s="130">
        <f>SUM(F87:F92)</f>
        <v>33682160</v>
      </c>
    </row>
    <row r="94" spans="1:6" x14ac:dyDescent="0.25">
      <c r="A94" s="265"/>
      <c r="B94" s="61" t="s">
        <v>141</v>
      </c>
      <c r="C94" s="61" t="s">
        <v>142</v>
      </c>
      <c r="D94" s="82">
        <v>3218683</v>
      </c>
      <c r="E94" s="82">
        <v>3497083</v>
      </c>
      <c r="F94" s="82">
        <f>F93*0.13-F95</f>
        <v>4098680.8</v>
      </c>
    </row>
    <row r="95" spans="1:6" x14ac:dyDescent="0.25">
      <c r="A95" s="265"/>
      <c r="B95" s="61" t="s">
        <v>141</v>
      </c>
      <c r="C95" s="61" t="s">
        <v>497</v>
      </c>
      <c r="D95" s="82"/>
      <c r="E95" s="82"/>
      <c r="F95" s="82">
        <v>280000</v>
      </c>
    </row>
    <row r="96" spans="1:6" x14ac:dyDescent="0.25">
      <c r="B96" s="14" t="s">
        <v>143</v>
      </c>
      <c r="C96" s="14" t="s">
        <v>439</v>
      </c>
      <c r="D96" s="19">
        <v>2500000</v>
      </c>
      <c r="E96" s="19">
        <v>1027180</v>
      </c>
      <c r="F96" s="19">
        <v>1200000</v>
      </c>
    </row>
    <row r="97" spans="2:6" x14ac:dyDescent="0.25">
      <c r="B97" s="14" t="s">
        <v>144</v>
      </c>
      <c r="C97" s="14" t="s">
        <v>440</v>
      </c>
      <c r="D97" s="19">
        <v>350000</v>
      </c>
      <c r="E97" s="19">
        <v>239562</v>
      </c>
      <c r="F97" s="19">
        <v>300000</v>
      </c>
    </row>
    <row r="98" spans="2:6" x14ac:dyDescent="0.25">
      <c r="B98" s="14" t="s">
        <v>146</v>
      </c>
      <c r="C98" s="38" t="s">
        <v>415</v>
      </c>
      <c r="D98" s="19">
        <v>4134000</v>
      </c>
      <c r="E98" s="19"/>
      <c r="F98" s="19">
        <v>0</v>
      </c>
    </row>
    <row r="99" spans="2:6" x14ac:dyDescent="0.25">
      <c r="B99" s="14" t="s">
        <v>147</v>
      </c>
      <c r="C99" s="14" t="s">
        <v>441</v>
      </c>
      <c r="D99" s="19">
        <v>800000</v>
      </c>
      <c r="E99" s="19">
        <v>165304</v>
      </c>
      <c r="F99" s="19">
        <v>200000</v>
      </c>
    </row>
    <row r="100" spans="2:6" x14ac:dyDescent="0.25">
      <c r="B100" s="14" t="s">
        <v>95</v>
      </c>
      <c r="C100" s="14" t="s">
        <v>442</v>
      </c>
      <c r="D100" s="19">
        <v>250000</v>
      </c>
      <c r="E100" s="19">
        <v>658440</v>
      </c>
      <c r="F100" s="19">
        <v>700000</v>
      </c>
    </row>
    <row r="101" spans="2:6" x14ac:dyDescent="0.25">
      <c r="B101" s="14" t="s">
        <v>96</v>
      </c>
      <c r="C101" s="14" t="s">
        <v>97</v>
      </c>
      <c r="D101" s="19">
        <f>843000+1116000</f>
        <v>1959000</v>
      </c>
      <c r="E101" s="19">
        <v>379477</v>
      </c>
      <c r="F101" s="19">
        <v>648000</v>
      </c>
    </row>
    <row r="102" spans="2:6" x14ac:dyDescent="0.25">
      <c r="B102" s="61" t="s">
        <v>98</v>
      </c>
      <c r="C102" s="61" t="s">
        <v>149</v>
      </c>
      <c r="D102" s="84">
        <f>SUM(D96:D101)</f>
        <v>9993000</v>
      </c>
      <c r="E102" s="129">
        <f>SUM(E96:E101)</f>
        <v>2469963</v>
      </c>
      <c r="F102" s="63">
        <f>SUM(F96:F101)</f>
        <v>3048000</v>
      </c>
    </row>
    <row r="103" spans="2:6" x14ac:dyDescent="0.25">
      <c r="B103" s="14" t="s">
        <v>150</v>
      </c>
      <c r="C103" s="14" t="s">
        <v>151</v>
      </c>
      <c r="D103" s="19">
        <v>500000</v>
      </c>
      <c r="E103" s="19">
        <v>0</v>
      </c>
      <c r="F103" s="19">
        <v>200000</v>
      </c>
    </row>
    <row r="104" spans="2:6" x14ac:dyDescent="0.25">
      <c r="B104" s="14" t="s">
        <v>152</v>
      </c>
      <c r="C104" s="14" t="s">
        <v>153</v>
      </c>
      <c r="D104" s="19">
        <v>135000</v>
      </c>
      <c r="E104" s="19">
        <v>0</v>
      </c>
      <c r="F104" s="19">
        <v>54000</v>
      </c>
    </row>
    <row r="105" spans="2:6" x14ac:dyDescent="0.25">
      <c r="B105" s="61" t="s">
        <v>154</v>
      </c>
      <c r="C105" s="61" t="s">
        <v>155</v>
      </c>
      <c r="D105" s="64">
        <f t="shared" ref="D105" si="9">SUM(D103:D104)</f>
        <v>635000</v>
      </c>
      <c r="E105" s="96">
        <f t="shared" ref="E105:F105" si="10">SUM(E103:E104)</f>
        <v>0</v>
      </c>
      <c r="F105" s="97">
        <f t="shared" si="10"/>
        <v>254000</v>
      </c>
    </row>
    <row r="106" spans="2:6" x14ac:dyDescent="0.25">
      <c r="B106" s="148" t="s">
        <v>156</v>
      </c>
      <c r="C106" s="148"/>
      <c r="D106" s="67">
        <f t="shared" ref="D106" si="11">D93+D94+D102+D105</f>
        <v>38404783</v>
      </c>
      <c r="E106" s="28">
        <f>E93+E94+E102+E105</f>
        <v>32518451</v>
      </c>
      <c r="F106" s="28">
        <f>F93+F94+F102+F105+F95</f>
        <v>41362840.799999997</v>
      </c>
    </row>
    <row r="107" spans="2:6" x14ac:dyDescent="0.25">
      <c r="B107" s="69"/>
      <c r="C107" s="69"/>
      <c r="D107" s="175"/>
      <c r="E107" s="175"/>
      <c r="F107" s="3"/>
    </row>
    <row r="108" spans="2:6" x14ac:dyDescent="0.25">
      <c r="B108" s="70"/>
      <c r="C108" s="70"/>
      <c r="D108" s="175"/>
      <c r="E108" s="175"/>
      <c r="F108" s="3"/>
    </row>
    <row r="109" spans="2:6" x14ac:dyDescent="0.25">
      <c r="B109" s="136" t="s">
        <v>157</v>
      </c>
      <c r="C109" s="136"/>
      <c r="D109" s="136"/>
      <c r="E109" s="136"/>
      <c r="F109" s="136"/>
    </row>
    <row r="110" spans="2:6" x14ac:dyDescent="0.25">
      <c r="B110" s="15" t="s">
        <v>95</v>
      </c>
      <c r="C110" s="14" t="s">
        <v>443</v>
      </c>
      <c r="D110" s="23">
        <v>450000</v>
      </c>
      <c r="E110" s="19">
        <v>150000</v>
      </c>
      <c r="F110" s="19">
        <v>300000</v>
      </c>
    </row>
    <row r="111" spans="2:6" x14ac:dyDescent="0.25">
      <c r="B111" s="15" t="s">
        <v>95</v>
      </c>
      <c r="C111" s="14" t="s">
        <v>367</v>
      </c>
      <c r="D111" s="265">
        <v>0</v>
      </c>
      <c r="E111" s="19">
        <v>0</v>
      </c>
      <c r="F111" s="19">
        <v>0</v>
      </c>
    </row>
    <row r="112" spans="2:6" x14ac:dyDescent="0.25">
      <c r="B112" s="15" t="s">
        <v>159</v>
      </c>
      <c r="C112" s="14" t="s">
        <v>160</v>
      </c>
      <c r="D112" s="23">
        <v>121500</v>
      </c>
      <c r="E112" s="19">
        <v>40500</v>
      </c>
      <c r="F112" s="23">
        <v>81000</v>
      </c>
    </row>
    <row r="113" spans="2:10" x14ac:dyDescent="0.25">
      <c r="B113" s="145" t="s">
        <v>100</v>
      </c>
      <c r="C113" s="151"/>
      <c r="D113" s="67">
        <f>SUM(D110:D112)</f>
        <v>571500</v>
      </c>
      <c r="E113" s="67">
        <f t="shared" ref="E113:F113" si="12">SUM(E110:E112)</f>
        <v>190500</v>
      </c>
      <c r="F113" s="68">
        <f t="shared" si="12"/>
        <v>381000</v>
      </c>
    </row>
    <row r="114" spans="2:10" x14ac:dyDescent="0.25">
      <c r="B114" s="1"/>
      <c r="C114" s="1"/>
      <c r="D114" s="173"/>
      <c r="E114" s="173"/>
      <c r="F114" s="60"/>
    </row>
    <row r="115" spans="2:10" x14ac:dyDescent="0.25">
      <c r="B115" s="1"/>
      <c r="C115" s="70"/>
      <c r="D115" s="173"/>
      <c r="E115" s="173"/>
      <c r="F115" s="60"/>
    </row>
    <row r="116" spans="2:10" x14ac:dyDescent="0.25">
      <c r="B116" s="61" t="s">
        <v>336</v>
      </c>
      <c r="C116" s="61"/>
      <c r="D116" s="61"/>
      <c r="E116" s="61"/>
      <c r="F116" s="61"/>
      <c r="H116" s="86"/>
      <c r="J116" s="86"/>
    </row>
    <row r="117" spans="2:10" s="265" customFormat="1" x14ac:dyDescent="0.25">
      <c r="B117" s="87" t="s">
        <v>95</v>
      </c>
      <c r="C117" s="199" t="s">
        <v>444</v>
      </c>
      <c r="D117" s="23">
        <f>5000000+1200000</f>
        <v>6200000</v>
      </c>
      <c r="E117" s="19">
        <v>12725000</v>
      </c>
      <c r="F117" s="19">
        <v>22500000</v>
      </c>
      <c r="H117" s="89"/>
      <c r="J117" s="89"/>
    </row>
    <row r="118" spans="2:10" s="265" customFormat="1" x14ac:dyDescent="0.25">
      <c r="B118" s="87" t="s">
        <v>96</v>
      </c>
      <c r="C118" s="14" t="s">
        <v>97</v>
      </c>
      <c r="D118" s="23">
        <v>1674000</v>
      </c>
      <c r="E118" s="19">
        <v>2895750</v>
      </c>
      <c r="F118" s="19">
        <f>F117*0.27</f>
        <v>6075000</v>
      </c>
      <c r="H118" s="88"/>
      <c r="J118" s="88"/>
    </row>
    <row r="119" spans="2:10" s="265" customFormat="1" x14ac:dyDescent="0.25">
      <c r="B119" s="240" t="s">
        <v>102</v>
      </c>
      <c r="C119" s="38" t="s">
        <v>161</v>
      </c>
      <c r="D119" s="239">
        <v>50000</v>
      </c>
      <c r="F119" s="19"/>
      <c r="H119" s="88"/>
      <c r="J119" s="88"/>
    </row>
    <row r="120" spans="2:10" x14ac:dyDescent="0.25">
      <c r="B120" s="90" t="s">
        <v>98</v>
      </c>
      <c r="C120" s="61" t="s">
        <v>162</v>
      </c>
      <c r="D120" s="64">
        <f>SUM(D117:D119)</f>
        <v>7924000</v>
      </c>
      <c r="E120" s="176">
        <f>SUM(E117:E118)</f>
        <v>15620750</v>
      </c>
      <c r="F120" s="176">
        <f>SUM(F117:F118)</f>
        <v>28575000</v>
      </c>
      <c r="J120" s="86"/>
    </row>
    <row r="121" spans="2:10" s="265" customFormat="1" x14ac:dyDescent="0.25">
      <c r="B121" s="307" t="s">
        <v>163</v>
      </c>
      <c r="C121" s="14" t="s">
        <v>445</v>
      </c>
      <c r="D121" s="193"/>
      <c r="E121" s="193"/>
      <c r="F121" s="19">
        <v>0</v>
      </c>
      <c r="J121" s="89"/>
    </row>
    <row r="122" spans="2:10" s="265" customFormat="1" x14ac:dyDescent="0.25">
      <c r="B122" s="308"/>
      <c r="C122" s="15" t="s">
        <v>446</v>
      </c>
      <c r="D122" s="193"/>
      <c r="E122" s="193"/>
      <c r="F122" s="19">
        <v>0</v>
      </c>
      <c r="J122" s="89"/>
    </row>
    <row r="123" spans="2:10" s="265" customFormat="1" x14ac:dyDescent="0.25">
      <c r="B123" s="308"/>
      <c r="C123" s="14" t="s">
        <v>368</v>
      </c>
      <c r="D123" s="193">
        <v>3792000</v>
      </c>
      <c r="E123" s="193">
        <v>3007000</v>
      </c>
      <c r="F123" s="19">
        <v>0</v>
      </c>
      <c r="J123" s="89"/>
    </row>
    <row r="124" spans="2:10" s="265" customFormat="1" x14ac:dyDescent="0.25">
      <c r="B124" s="308"/>
      <c r="C124" s="14" t="s">
        <v>372</v>
      </c>
      <c r="D124" s="193">
        <v>55000000</v>
      </c>
      <c r="E124" s="193">
        <f>55000000+9968806+5431000</f>
        <v>70399806</v>
      </c>
      <c r="F124" s="19">
        <v>0</v>
      </c>
      <c r="H124" s="89"/>
      <c r="J124" s="89"/>
    </row>
    <row r="125" spans="2:10" s="265" customFormat="1" x14ac:dyDescent="0.25">
      <c r="B125" s="308"/>
      <c r="C125" s="14" t="s">
        <v>31</v>
      </c>
      <c r="D125" s="24">
        <v>39370000</v>
      </c>
      <c r="E125" s="19"/>
      <c r="F125" s="19"/>
      <c r="H125" s="89"/>
      <c r="J125" s="89"/>
    </row>
    <row r="126" spans="2:10" s="265" customFormat="1" x14ac:dyDescent="0.25">
      <c r="B126" s="308"/>
      <c r="C126" s="15" t="s">
        <v>32</v>
      </c>
      <c r="D126" s="23">
        <v>82267513</v>
      </c>
      <c r="E126" s="19"/>
      <c r="F126" s="19"/>
      <c r="H126" s="89"/>
      <c r="J126" s="89"/>
    </row>
    <row r="127" spans="2:10" s="265" customFormat="1" x14ac:dyDescent="0.25">
      <c r="B127" s="308"/>
      <c r="C127" s="14" t="s">
        <v>164</v>
      </c>
      <c r="D127" s="23">
        <v>203371100</v>
      </c>
      <c r="E127" s="19"/>
      <c r="F127" s="19"/>
      <c r="H127" s="89"/>
      <c r="J127" s="89"/>
    </row>
    <row r="128" spans="2:10" s="265" customFormat="1" x14ac:dyDescent="0.25">
      <c r="B128" s="308"/>
      <c r="C128" s="214" t="s">
        <v>447</v>
      </c>
      <c r="D128" s="193"/>
      <c r="E128" s="193"/>
      <c r="F128" s="19">
        <v>595904</v>
      </c>
      <c r="H128" s="89"/>
      <c r="J128" s="89"/>
    </row>
    <row r="129" spans="2:10" s="265" customFormat="1" x14ac:dyDescent="0.25">
      <c r="B129" s="308"/>
      <c r="C129" s="214" t="s">
        <v>448</v>
      </c>
      <c r="D129" s="193"/>
      <c r="E129" s="193"/>
      <c r="F129" s="19">
        <v>2362200</v>
      </c>
      <c r="H129" s="89"/>
      <c r="J129" s="89"/>
    </row>
    <row r="130" spans="2:10" x14ac:dyDescent="0.25">
      <c r="B130" s="308"/>
      <c r="C130" s="207" t="s">
        <v>374</v>
      </c>
      <c r="D130" s="193"/>
      <c r="E130" s="193"/>
      <c r="F130" s="23">
        <v>2880553</v>
      </c>
      <c r="H130" s="86"/>
      <c r="J130" s="86"/>
    </row>
    <row r="131" spans="2:10" x14ac:dyDescent="0.25">
      <c r="B131" s="308"/>
      <c r="C131" s="207" t="s">
        <v>375</v>
      </c>
      <c r="D131" s="193"/>
      <c r="E131" s="193"/>
      <c r="F131" s="23">
        <v>787400</v>
      </c>
      <c r="H131" s="86"/>
      <c r="J131" s="86"/>
    </row>
    <row r="132" spans="2:10" s="265" customFormat="1" x14ac:dyDescent="0.25">
      <c r="B132" s="308"/>
      <c r="C132" s="214" t="s">
        <v>385</v>
      </c>
      <c r="D132" s="193"/>
      <c r="E132" s="193"/>
      <c r="F132" s="19">
        <v>11417300</v>
      </c>
      <c r="H132" s="89"/>
      <c r="J132" s="89"/>
    </row>
    <row r="133" spans="2:10" s="265" customFormat="1" x14ac:dyDescent="0.25">
      <c r="B133" s="308"/>
      <c r="C133" s="214" t="s">
        <v>384</v>
      </c>
      <c r="D133" s="193"/>
      <c r="E133" s="193"/>
      <c r="F133" s="19">
        <v>480000</v>
      </c>
      <c r="H133" s="89"/>
      <c r="J133" s="89"/>
    </row>
    <row r="134" spans="2:10" s="265" customFormat="1" x14ac:dyDescent="0.25">
      <c r="B134" s="309"/>
      <c r="C134" s="14" t="s">
        <v>376</v>
      </c>
      <c r="D134" s="193"/>
      <c r="E134" s="193"/>
      <c r="F134" s="19">
        <v>0</v>
      </c>
      <c r="H134" s="89"/>
      <c r="J134" s="89"/>
    </row>
    <row r="135" spans="2:10" s="265" customFormat="1" x14ac:dyDescent="0.25">
      <c r="B135" s="14" t="s">
        <v>152</v>
      </c>
      <c r="C135" s="14" t="s">
        <v>165</v>
      </c>
      <c r="D135" s="23">
        <v>88775196</v>
      </c>
      <c r="E135" s="19">
        <v>811890</v>
      </c>
      <c r="F135" s="19">
        <v>5001306</v>
      </c>
      <c r="H135" s="88"/>
      <c r="J135" s="88"/>
    </row>
    <row r="136" spans="2:10" x14ac:dyDescent="0.25">
      <c r="B136" s="61" t="s">
        <v>154</v>
      </c>
      <c r="C136" s="61" t="s">
        <v>155</v>
      </c>
      <c r="D136" s="96">
        <f>SUM(D121:D135)</f>
        <v>472575809</v>
      </c>
      <c r="E136" s="96">
        <f>SUM(E121:E135)</f>
        <v>74218696</v>
      </c>
      <c r="F136" s="97">
        <f>SUM(F121:F135)</f>
        <v>23524663</v>
      </c>
      <c r="H136" s="86"/>
      <c r="J136" s="86"/>
    </row>
    <row r="137" spans="2:10" x14ac:dyDescent="0.25">
      <c r="B137" s="199" t="s">
        <v>166</v>
      </c>
      <c r="C137" s="14" t="s">
        <v>449</v>
      </c>
      <c r="D137" s="51">
        <v>49000000</v>
      </c>
      <c r="E137" s="18">
        <v>0</v>
      </c>
      <c r="F137" s="33">
        <v>0</v>
      </c>
      <c r="H137" s="86"/>
      <c r="J137" s="86"/>
    </row>
    <row r="138" spans="2:10" x14ac:dyDescent="0.25">
      <c r="B138" s="199"/>
      <c r="C138" s="14" t="s">
        <v>450</v>
      </c>
      <c r="D138" s="18">
        <v>0</v>
      </c>
      <c r="E138" s="18">
        <v>0</v>
      </c>
      <c r="F138" s="19">
        <v>85892375</v>
      </c>
      <c r="H138" s="86"/>
      <c r="J138" s="86"/>
    </row>
    <row r="139" spans="2:10" x14ac:dyDescent="0.25">
      <c r="B139" s="199"/>
      <c r="C139" s="14" t="s">
        <v>32</v>
      </c>
      <c r="D139" s="51">
        <v>1000000</v>
      </c>
      <c r="E139" s="18"/>
      <c r="F139" s="33">
        <v>0</v>
      </c>
      <c r="H139" s="86"/>
      <c r="J139" s="86"/>
    </row>
    <row r="140" spans="2:10" x14ac:dyDescent="0.25">
      <c r="B140" s="199"/>
      <c r="C140" s="14" t="s">
        <v>373</v>
      </c>
      <c r="D140" s="18"/>
      <c r="E140" s="18"/>
      <c r="F140" s="33">
        <v>0</v>
      </c>
      <c r="H140" s="86"/>
      <c r="J140" s="86"/>
    </row>
    <row r="141" spans="2:10" s="265" customFormat="1" x14ac:dyDescent="0.25">
      <c r="B141" s="14" t="s">
        <v>167</v>
      </c>
      <c r="C141" s="14" t="s">
        <v>168</v>
      </c>
      <c r="D141" s="19">
        <v>13500000</v>
      </c>
      <c r="E141" s="19">
        <v>0</v>
      </c>
      <c r="F141" s="19">
        <v>23190941</v>
      </c>
      <c r="H141" s="88"/>
      <c r="J141" s="88"/>
    </row>
    <row r="142" spans="2:10" x14ac:dyDescent="0.25">
      <c r="B142" s="61" t="s">
        <v>169</v>
      </c>
      <c r="C142" s="61" t="s">
        <v>170</v>
      </c>
      <c r="D142" s="96">
        <f>SUM(D137:D141)</f>
        <v>63500000</v>
      </c>
      <c r="E142" s="96">
        <f>SUM(E137:E141)</f>
        <v>0</v>
      </c>
      <c r="F142" s="96">
        <f>SUM(F137:F141)</f>
        <v>109083316</v>
      </c>
      <c r="H142" s="89"/>
      <c r="J142" s="89"/>
    </row>
    <row r="143" spans="2:10" x14ac:dyDescent="0.25">
      <c r="B143" s="87" t="s">
        <v>171</v>
      </c>
      <c r="C143" s="14" t="s">
        <v>499</v>
      </c>
      <c r="D143" s="19">
        <v>5000000</v>
      </c>
      <c r="E143" s="19">
        <v>0</v>
      </c>
      <c r="F143" s="19">
        <v>40510711</v>
      </c>
      <c r="G143" s="267"/>
      <c r="H143" s="88"/>
      <c r="J143" s="88"/>
    </row>
    <row r="144" spans="2:10" x14ac:dyDescent="0.25">
      <c r="B144" s="90" t="s">
        <v>172</v>
      </c>
      <c r="C144" s="61" t="s">
        <v>173</v>
      </c>
      <c r="D144" s="200">
        <f t="shared" ref="D144" si="13">SUM(D143:D143)</f>
        <v>5000000</v>
      </c>
      <c r="E144" s="200">
        <f t="shared" ref="E144:F144" si="14">SUM(E143:E143)</f>
        <v>0</v>
      </c>
      <c r="F144" s="200">
        <f t="shared" si="14"/>
        <v>40510711</v>
      </c>
      <c r="G144" s="268"/>
      <c r="H144" s="91"/>
      <c r="J144" s="91"/>
    </row>
    <row r="145" spans="2:10" x14ac:dyDescent="0.25">
      <c r="B145" s="87" t="s">
        <v>329</v>
      </c>
      <c r="C145" s="14" t="s">
        <v>330</v>
      </c>
      <c r="D145" s="201">
        <v>0</v>
      </c>
      <c r="E145" s="201">
        <v>0</v>
      </c>
      <c r="F145" s="201">
        <v>0</v>
      </c>
      <c r="G145" s="267"/>
      <c r="H145" s="91"/>
      <c r="J145" s="91"/>
    </row>
    <row r="146" spans="2:10" x14ac:dyDescent="0.25">
      <c r="B146" s="90" t="s">
        <v>154</v>
      </c>
      <c r="C146" s="61" t="s">
        <v>331</v>
      </c>
      <c r="D146" s="202">
        <f>SUM(D145)</f>
        <v>0</v>
      </c>
      <c r="E146" s="202">
        <f>SUM(E145)</f>
        <v>0</v>
      </c>
      <c r="F146" s="202">
        <f>SUM(F145)</f>
        <v>0</v>
      </c>
      <c r="H146" s="91"/>
      <c r="J146" s="91"/>
    </row>
    <row r="147" spans="2:10" x14ac:dyDescent="0.25">
      <c r="B147" s="148" t="s">
        <v>100</v>
      </c>
      <c r="C147" s="148"/>
      <c r="D147" s="67">
        <f>D144+D142+D136+D120</f>
        <v>548999809</v>
      </c>
      <c r="E147" s="67">
        <f>E120+E136+E142+E144+E146</f>
        <v>89839446</v>
      </c>
      <c r="F147" s="67">
        <f>F120+F136+F142+F144+F146</f>
        <v>201693690</v>
      </c>
    </row>
    <row r="148" spans="2:10" x14ac:dyDescent="0.25">
      <c r="C148" s="269"/>
      <c r="D148" s="173"/>
      <c r="E148" s="173"/>
      <c r="F148" s="60"/>
    </row>
    <row r="149" spans="2:10" x14ac:dyDescent="0.25">
      <c r="C149" s="260"/>
      <c r="D149" s="173"/>
      <c r="E149" s="173"/>
      <c r="F149" s="60"/>
    </row>
    <row r="150" spans="2:10" x14ac:dyDescent="0.25">
      <c r="B150" s="61" t="s">
        <v>174</v>
      </c>
      <c r="C150" s="61"/>
      <c r="D150" s="61"/>
      <c r="E150" s="61"/>
      <c r="F150" s="61"/>
    </row>
    <row r="151" spans="2:10" x14ac:dyDescent="0.25">
      <c r="B151" s="14" t="s">
        <v>147</v>
      </c>
      <c r="C151" s="14" t="s">
        <v>451</v>
      </c>
      <c r="D151" s="23">
        <v>19000000</v>
      </c>
      <c r="E151" s="19">
        <v>15736411</v>
      </c>
      <c r="F151" s="23">
        <v>16000000</v>
      </c>
    </row>
    <row r="152" spans="2:10" x14ac:dyDescent="0.25">
      <c r="B152" s="14" t="s">
        <v>175</v>
      </c>
      <c r="C152" s="14" t="s">
        <v>176</v>
      </c>
      <c r="D152" s="93">
        <v>4000000</v>
      </c>
      <c r="E152" s="79">
        <v>4097618</v>
      </c>
      <c r="F152" s="93">
        <v>4000000</v>
      </c>
    </row>
    <row r="153" spans="2:10" x14ac:dyDescent="0.25">
      <c r="B153" s="14" t="s">
        <v>96</v>
      </c>
      <c r="C153" s="14" t="s">
        <v>160</v>
      </c>
      <c r="D153" s="24">
        <v>6210000</v>
      </c>
      <c r="E153" s="20">
        <v>5293314</v>
      </c>
      <c r="F153" s="24">
        <v>5400000</v>
      </c>
    </row>
    <row r="154" spans="2:10" x14ac:dyDescent="0.25">
      <c r="B154" s="155" t="s">
        <v>100</v>
      </c>
      <c r="C154" s="156"/>
      <c r="D154" s="67">
        <f t="shared" ref="D154" si="15">SUM(D151:D153)</f>
        <v>29210000</v>
      </c>
      <c r="E154" s="67">
        <f t="shared" ref="E154" si="16">SUM(E151:E153)</f>
        <v>25127343</v>
      </c>
      <c r="F154" s="67">
        <f>SUM(F151:F153)</f>
        <v>25400000</v>
      </c>
    </row>
    <row r="155" spans="2:10" x14ac:dyDescent="0.25">
      <c r="C155" s="269"/>
      <c r="D155" s="173"/>
      <c r="E155" s="173"/>
      <c r="F155" s="60"/>
    </row>
    <row r="156" spans="2:10" x14ac:dyDescent="0.25">
      <c r="C156" s="260"/>
      <c r="D156" s="173"/>
      <c r="E156" s="173"/>
      <c r="F156" s="60"/>
    </row>
    <row r="157" spans="2:10" x14ac:dyDescent="0.25">
      <c r="B157" s="61" t="s">
        <v>177</v>
      </c>
      <c r="C157" s="61"/>
      <c r="D157" s="61"/>
      <c r="E157" s="61"/>
      <c r="F157" s="61"/>
    </row>
    <row r="158" spans="2:10" x14ac:dyDescent="0.25">
      <c r="B158" s="14" t="s">
        <v>133</v>
      </c>
      <c r="C158" s="14" t="s">
        <v>520</v>
      </c>
      <c r="D158" s="62">
        <v>35322178</v>
      </c>
      <c r="E158" s="94">
        <v>49530625</v>
      </c>
      <c r="F158" s="94">
        <v>72078180</v>
      </c>
      <c r="H158" s="263"/>
    </row>
    <row r="159" spans="2:10" x14ac:dyDescent="0.25">
      <c r="B159" s="14" t="s">
        <v>135</v>
      </c>
      <c r="C159" s="14" t="s">
        <v>178</v>
      </c>
      <c r="D159" s="62">
        <v>409000</v>
      </c>
      <c r="E159" s="94">
        <v>435600</v>
      </c>
      <c r="F159" s="213">
        <v>0</v>
      </c>
    </row>
    <row r="160" spans="2:10" x14ac:dyDescent="0.25">
      <c r="B160" s="14" t="s">
        <v>179</v>
      </c>
      <c r="C160" s="14" t="s">
        <v>281</v>
      </c>
      <c r="D160" s="62">
        <v>433080</v>
      </c>
      <c r="E160" s="94">
        <v>849580</v>
      </c>
      <c r="F160" s="62">
        <v>2000000</v>
      </c>
    </row>
    <row r="161" spans="2:8" x14ac:dyDescent="0.25">
      <c r="B161" s="14" t="s">
        <v>88</v>
      </c>
      <c r="C161" s="14" t="s">
        <v>452</v>
      </c>
      <c r="D161" s="62">
        <v>1108000</v>
      </c>
      <c r="E161" s="94">
        <v>1023335</v>
      </c>
      <c r="F161" s="62">
        <v>1200000</v>
      </c>
    </row>
    <row r="162" spans="2:8" x14ac:dyDescent="0.25">
      <c r="B162" s="14" t="s">
        <v>137</v>
      </c>
      <c r="C162" s="14" t="s">
        <v>521</v>
      </c>
      <c r="D162" s="94">
        <v>960000</v>
      </c>
      <c r="E162" s="94">
        <v>3134937</v>
      </c>
      <c r="F162" s="94">
        <v>6500000</v>
      </c>
    </row>
    <row r="163" spans="2:8" x14ac:dyDescent="0.25">
      <c r="B163" s="14" t="s">
        <v>89</v>
      </c>
      <c r="C163" s="14" t="s">
        <v>522</v>
      </c>
      <c r="D163" s="95">
        <v>6920000</v>
      </c>
      <c r="E163" s="95">
        <v>4707189</v>
      </c>
      <c r="F163" s="95">
        <v>4000000</v>
      </c>
    </row>
    <row r="164" spans="2:8" x14ac:dyDescent="0.25">
      <c r="B164" s="61" t="s">
        <v>139</v>
      </c>
      <c r="C164" s="61" t="s">
        <v>181</v>
      </c>
      <c r="D164" s="96">
        <f t="shared" ref="D164" si="17">SUM(D158:D163)</f>
        <v>45152258</v>
      </c>
      <c r="E164" s="176">
        <f>SUM(E158:E163)</f>
        <v>59681266</v>
      </c>
      <c r="F164" s="98">
        <f>SUM(F158:F163)</f>
        <v>85778180</v>
      </c>
      <c r="G164" s="262"/>
    </row>
    <row r="165" spans="2:8" x14ac:dyDescent="0.25">
      <c r="B165" s="61" t="s">
        <v>141</v>
      </c>
      <c r="C165" s="61" t="s">
        <v>406</v>
      </c>
      <c r="D165" s="81">
        <v>9488994</v>
      </c>
      <c r="E165" s="82">
        <v>11965008</v>
      </c>
      <c r="F165" s="82">
        <v>14790163</v>
      </c>
      <c r="H165" s="262"/>
    </row>
    <row r="166" spans="2:8" x14ac:dyDescent="0.25">
      <c r="B166" s="14" t="s">
        <v>182</v>
      </c>
      <c r="C166" s="14" t="s">
        <v>453</v>
      </c>
      <c r="D166" s="62">
        <v>250000</v>
      </c>
      <c r="E166" s="94">
        <v>151012</v>
      </c>
      <c r="F166" s="62">
        <v>0</v>
      </c>
    </row>
    <row r="167" spans="2:8" x14ac:dyDescent="0.25">
      <c r="B167" s="14" t="s">
        <v>143</v>
      </c>
      <c r="C167" s="14" t="s">
        <v>523</v>
      </c>
      <c r="D167" s="62">
        <v>20000000</v>
      </c>
      <c r="E167" s="94">
        <v>22913534</v>
      </c>
      <c r="F167" s="314">
        <v>18000000</v>
      </c>
    </row>
    <row r="168" spans="2:8" x14ac:dyDescent="0.25">
      <c r="B168" s="14" t="s">
        <v>183</v>
      </c>
      <c r="C168" s="14" t="s">
        <v>454</v>
      </c>
      <c r="D168" s="62">
        <v>3000000</v>
      </c>
      <c r="E168" s="94">
        <v>2820708</v>
      </c>
      <c r="F168" s="314">
        <v>3000000</v>
      </c>
    </row>
    <row r="169" spans="2:8" x14ac:dyDescent="0.25">
      <c r="B169" s="14" t="s">
        <v>144</v>
      </c>
      <c r="C169" s="14" t="s">
        <v>455</v>
      </c>
      <c r="D169" s="62">
        <v>2000000</v>
      </c>
      <c r="E169" s="94">
        <v>1900143</v>
      </c>
      <c r="F169" s="314">
        <v>2000000</v>
      </c>
    </row>
    <row r="170" spans="2:8" x14ac:dyDescent="0.25">
      <c r="B170" s="14" t="s">
        <v>175</v>
      </c>
      <c r="C170" s="14" t="s">
        <v>456</v>
      </c>
      <c r="D170" s="62">
        <v>12000000</v>
      </c>
      <c r="E170" s="94">
        <v>5111105</v>
      </c>
      <c r="F170" s="314">
        <v>5500000</v>
      </c>
    </row>
    <row r="171" spans="2:8" x14ac:dyDescent="0.25">
      <c r="B171" s="14" t="s">
        <v>185</v>
      </c>
      <c r="C171" s="14" t="s">
        <v>457</v>
      </c>
      <c r="D171" s="62">
        <v>2500000</v>
      </c>
      <c r="E171" s="94">
        <v>2217116</v>
      </c>
      <c r="F171" s="314">
        <v>2500000</v>
      </c>
    </row>
    <row r="172" spans="2:8" x14ac:dyDescent="0.25">
      <c r="B172" s="14" t="s">
        <v>187</v>
      </c>
      <c r="C172" s="14" t="s">
        <v>188</v>
      </c>
      <c r="D172" s="62">
        <v>1500000</v>
      </c>
      <c r="E172" s="94">
        <v>1172477</v>
      </c>
      <c r="F172" s="314">
        <v>1200000</v>
      </c>
    </row>
    <row r="173" spans="2:8" x14ac:dyDescent="0.25">
      <c r="B173" s="14" t="s">
        <v>189</v>
      </c>
      <c r="C173" s="14" t="s">
        <v>524</v>
      </c>
      <c r="D173" s="62">
        <v>200000</v>
      </c>
      <c r="E173" s="94">
        <v>159684</v>
      </c>
      <c r="F173" s="314">
        <v>180000</v>
      </c>
    </row>
    <row r="174" spans="2:8" x14ac:dyDescent="0.25">
      <c r="B174" s="14" t="s">
        <v>146</v>
      </c>
      <c r="C174" s="14" t="s">
        <v>458</v>
      </c>
      <c r="D174" s="62">
        <f>1000000+4134000</f>
        <v>5134000</v>
      </c>
      <c r="E174" s="94">
        <v>701968</v>
      </c>
      <c r="F174" s="314">
        <v>900000</v>
      </c>
    </row>
    <row r="175" spans="2:8" x14ac:dyDescent="0.25">
      <c r="B175" s="14" t="s">
        <v>147</v>
      </c>
      <c r="C175" s="14" t="s">
        <v>284</v>
      </c>
      <c r="D175" s="62">
        <f>14000000+820000</f>
        <v>14820000</v>
      </c>
      <c r="E175" s="94">
        <v>40674603</v>
      </c>
      <c r="F175" s="314">
        <v>20000000</v>
      </c>
    </row>
    <row r="176" spans="2:8" x14ac:dyDescent="0.25">
      <c r="B176" s="14" t="s">
        <v>94</v>
      </c>
      <c r="C176" s="14" t="s">
        <v>525</v>
      </c>
      <c r="D176" s="62">
        <v>4500000</v>
      </c>
      <c r="E176" s="94">
        <v>3819489</v>
      </c>
      <c r="F176" s="314">
        <v>5560000</v>
      </c>
    </row>
    <row r="177" spans="2:8" x14ac:dyDescent="0.25">
      <c r="B177" s="14" t="s">
        <v>95</v>
      </c>
      <c r="C177" s="203" t="s">
        <v>512</v>
      </c>
      <c r="D177" s="62">
        <v>55000000</v>
      </c>
      <c r="E177" s="242">
        <v>74473772</v>
      </c>
      <c r="F177" s="314">
        <v>50000000</v>
      </c>
    </row>
    <row r="178" spans="2:8" x14ac:dyDescent="0.25">
      <c r="B178" s="14" t="s">
        <v>95</v>
      </c>
      <c r="C178" s="203" t="s">
        <v>404</v>
      </c>
      <c r="D178" s="214"/>
      <c r="E178" s="214">
        <v>0</v>
      </c>
      <c r="F178" s="314">
        <v>5000000</v>
      </c>
    </row>
    <row r="179" spans="2:8" x14ac:dyDescent="0.25">
      <c r="B179" s="14" t="s">
        <v>190</v>
      </c>
      <c r="C179" s="203" t="s">
        <v>191</v>
      </c>
      <c r="D179" s="62">
        <v>500000</v>
      </c>
      <c r="E179" s="94">
        <v>0</v>
      </c>
      <c r="F179" s="314">
        <v>0</v>
      </c>
    </row>
    <row r="180" spans="2:8" x14ac:dyDescent="0.25">
      <c r="B180" s="14" t="s">
        <v>192</v>
      </c>
      <c r="C180" s="14" t="s">
        <v>526</v>
      </c>
      <c r="D180" s="62">
        <v>6500000</v>
      </c>
      <c r="E180" s="94">
        <v>6515000</v>
      </c>
      <c r="F180" s="315">
        <v>6600000</v>
      </c>
    </row>
    <row r="181" spans="2:8" x14ac:dyDescent="0.25">
      <c r="B181" s="75" t="s">
        <v>96</v>
      </c>
      <c r="C181" s="75" t="s">
        <v>160</v>
      </c>
      <c r="D181" s="62">
        <v>27597000</v>
      </c>
      <c r="E181" s="94">
        <v>28235527</v>
      </c>
      <c r="F181" s="314">
        <v>32518800</v>
      </c>
    </row>
    <row r="182" spans="2:8" ht="15" customHeight="1" x14ac:dyDescent="0.25">
      <c r="B182" s="14" t="s">
        <v>193</v>
      </c>
      <c r="C182" s="75" t="s">
        <v>459</v>
      </c>
      <c r="D182" s="241">
        <f>18000000+1116000</f>
        <v>19116000</v>
      </c>
      <c r="E182" s="216">
        <v>13577000</v>
      </c>
      <c r="F182" s="314">
        <v>15000000</v>
      </c>
    </row>
    <row r="183" spans="2:8" x14ac:dyDescent="0.25">
      <c r="B183" s="75" t="s">
        <v>102</v>
      </c>
      <c r="C183" s="75" t="s">
        <v>527</v>
      </c>
      <c r="D183" s="100">
        <v>1500000</v>
      </c>
      <c r="E183" s="177">
        <v>11364659</v>
      </c>
      <c r="F183" s="314">
        <v>13000000</v>
      </c>
    </row>
    <row r="184" spans="2:8" x14ac:dyDescent="0.25">
      <c r="B184" s="61" t="s">
        <v>98</v>
      </c>
      <c r="C184" s="61" t="s">
        <v>194</v>
      </c>
      <c r="D184" s="80">
        <f>SUM(D166:D183)</f>
        <v>176117000</v>
      </c>
      <c r="E184" s="80">
        <f>SUM(E166:E183)</f>
        <v>215807797</v>
      </c>
      <c r="F184" s="82">
        <f>SUM(F166:F183)</f>
        <v>180958800</v>
      </c>
    </row>
    <row r="185" spans="2:8" x14ac:dyDescent="0.25">
      <c r="B185" s="14" t="s">
        <v>163</v>
      </c>
      <c r="C185" s="14" t="s">
        <v>528</v>
      </c>
      <c r="D185" s="19">
        <v>500000</v>
      </c>
      <c r="E185" s="19">
        <v>44600000</v>
      </c>
      <c r="F185" s="19">
        <v>10000000</v>
      </c>
    </row>
    <row r="186" spans="2:8" x14ac:dyDescent="0.25">
      <c r="B186" s="14" t="s">
        <v>195</v>
      </c>
      <c r="C186" s="14" t="s">
        <v>529</v>
      </c>
      <c r="D186" s="23">
        <v>500000</v>
      </c>
      <c r="E186" s="19">
        <v>5817014</v>
      </c>
      <c r="F186" s="19">
        <v>3000000</v>
      </c>
      <c r="H186" s="262"/>
    </row>
    <row r="187" spans="2:8" x14ac:dyDescent="0.25">
      <c r="B187" s="14" t="s">
        <v>150</v>
      </c>
      <c r="C187" s="14" t="s">
        <v>530</v>
      </c>
      <c r="D187" s="23">
        <v>2000000</v>
      </c>
      <c r="E187" s="19">
        <v>8554990</v>
      </c>
      <c r="F187" s="23">
        <v>12000000</v>
      </c>
    </row>
    <row r="188" spans="2:8" x14ac:dyDescent="0.25">
      <c r="B188" s="14" t="s">
        <v>152</v>
      </c>
      <c r="C188" s="14" t="s">
        <v>196</v>
      </c>
      <c r="D188" s="23">
        <v>810000</v>
      </c>
      <c r="E188" s="19">
        <v>6649691</v>
      </c>
      <c r="F188" s="23">
        <v>6750000</v>
      </c>
    </row>
    <row r="189" spans="2:8" x14ac:dyDescent="0.25">
      <c r="B189" s="61" t="s">
        <v>154</v>
      </c>
      <c r="C189" s="61" t="s">
        <v>197</v>
      </c>
      <c r="D189" s="101">
        <f>SUM(D185:D188)</f>
        <v>3810000</v>
      </c>
      <c r="E189" s="101">
        <f t="shared" ref="E189" si="18">SUM(E185:E188)</f>
        <v>65621695</v>
      </c>
      <c r="F189" s="101">
        <f>SUM(F185:F188)</f>
        <v>31750000</v>
      </c>
    </row>
    <row r="190" spans="2:8" x14ac:dyDescent="0.25">
      <c r="B190" s="14" t="s">
        <v>166</v>
      </c>
      <c r="C190" s="14" t="s">
        <v>531</v>
      </c>
      <c r="D190" s="23">
        <f>20000000+2000000+10495310</f>
        <v>32495310</v>
      </c>
      <c r="E190" s="19">
        <v>34565877</v>
      </c>
      <c r="F190" s="23">
        <v>44800000</v>
      </c>
    </row>
    <row r="191" spans="2:8" x14ac:dyDescent="0.25">
      <c r="B191" s="14" t="s">
        <v>167</v>
      </c>
      <c r="C191" s="14" t="s">
        <v>198</v>
      </c>
      <c r="D191" s="23">
        <f>D190*0.27</f>
        <v>8773733.7000000011</v>
      </c>
      <c r="E191" s="19">
        <v>9151888</v>
      </c>
      <c r="F191" s="23">
        <v>12096000</v>
      </c>
    </row>
    <row r="192" spans="2:8" x14ac:dyDescent="0.25">
      <c r="B192" s="61" t="s">
        <v>169</v>
      </c>
      <c r="C192" s="61" t="s">
        <v>199</v>
      </c>
      <c r="D192" s="243">
        <f>SUM(D190:D191)</f>
        <v>41269043.700000003</v>
      </c>
      <c r="E192" s="135">
        <f t="shared" ref="E192" si="19">SUM(E190:E191)</f>
        <v>43717765</v>
      </c>
      <c r="F192" s="102">
        <f>SUM(F190:F191)</f>
        <v>56896000</v>
      </c>
    </row>
    <row r="193" spans="1:6" x14ac:dyDescent="0.25">
      <c r="B193" s="144" t="s">
        <v>156</v>
      </c>
      <c r="C193" s="144"/>
      <c r="D193" s="103">
        <f>D165+D164+D184+D189+D192</f>
        <v>275837295.69999999</v>
      </c>
      <c r="E193" s="103">
        <f t="shared" ref="E193" si="20">E164+E165+E184+E189+E192</f>
        <v>396793531</v>
      </c>
      <c r="F193" s="103">
        <f>F164+F165+F184+F189+F192</f>
        <v>370173143</v>
      </c>
    </row>
    <row r="194" spans="1:6" x14ac:dyDescent="0.25">
      <c r="B194" s="269"/>
      <c r="C194" s="269"/>
      <c r="D194" s="173"/>
      <c r="E194" s="173"/>
      <c r="F194" s="60"/>
    </row>
    <row r="195" spans="1:6" x14ac:dyDescent="0.25">
      <c r="B195" s="70"/>
      <c r="C195" s="70"/>
      <c r="D195" s="173"/>
      <c r="E195" s="173"/>
      <c r="F195" s="104"/>
    </row>
    <row r="196" spans="1:6" x14ac:dyDescent="0.25">
      <c r="B196" s="136" t="s">
        <v>40</v>
      </c>
      <c r="C196" s="136"/>
      <c r="D196" s="136"/>
      <c r="E196" s="136"/>
      <c r="F196" s="136"/>
    </row>
    <row r="197" spans="1:6" x14ac:dyDescent="0.25">
      <c r="B197" s="14" t="s">
        <v>133</v>
      </c>
      <c r="C197" s="14" t="s">
        <v>532</v>
      </c>
      <c r="D197" s="62">
        <v>35606959</v>
      </c>
      <c r="E197" s="94">
        <v>51452715</v>
      </c>
      <c r="F197" s="94">
        <v>78464904</v>
      </c>
    </row>
    <row r="198" spans="1:6" x14ac:dyDescent="0.25">
      <c r="B198" s="14" t="s">
        <v>135</v>
      </c>
      <c r="C198" s="14" t="s">
        <v>200</v>
      </c>
      <c r="D198" s="62">
        <v>474778</v>
      </c>
      <c r="E198" s="94">
        <v>3225593</v>
      </c>
      <c r="F198" s="213">
        <v>0</v>
      </c>
    </row>
    <row r="199" spans="1:6" x14ac:dyDescent="0.25">
      <c r="B199" s="14" t="s">
        <v>201</v>
      </c>
      <c r="C199" s="14" t="s">
        <v>202</v>
      </c>
      <c r="D199" s="62">
        <v>614400</v>
      </c>
      <c r="E199" s="94">
        <v>0</v>
      </c>
      <c r="F199" s="177">
        <v>600000</v>
      </c>
    </row>
    <row r="200" spans="1:6" x14ac:dyDescent="0.25">
      <c r="A200" s="265"/>
      <c r="B200" s="14" t="s">
        <v>280</v>
      </c>
      <c r="C200" s="14" t="s">
        <v>496</v>
      </c>
      <c r="D200" s="94">
        <v>0</v>
      </c>
      <c r="E200" s="94">
        <v>0</v>
      </c>
      <c r="F200" s="177">
        <v>2000000</v>
      </c>
    </row>
    <row r="201" spans="1:6" x14ac:dyDescent="0.25">
      <c r="A201" s="265"/>
      <c r="B201" s="14" t="s">
        <v>203</v>
      </c>
      <c r="C201" s="14" t="s">
        <v>204</v>
      </c>
      <c r="D201" s="94">
        <v>75000</v>
      </c>
      <c r="E201" s="94">
        <v>151873</v>
      </c>
      <c r="F201" s="94">
        <v>187970</v>
      </c>
    </row>
    <row r="202" spans="1:6" x14ac:dyDescent="0.25">
      <c r="A202" s="265"/>
      <c r="B202" s="14" t="s">
        <v>179</v>
      </c>
      <c r="C202" s="14" t="s">
        <v>205</v>
      </c>
      <c r="D202" s="94">
        <v>2940132</v>
      </c>
      <c r="E202" s="94">
        <v>2940180</v>
      </c>
      <c r="F202" s="94">
        <v>3210900</v>
      </c>
    </row>
    <row r="203" spans="1:6" x14ac:dyDescent="0.25">
      <c r="A203" s="265"/>
      <c r="B203" s="75" t="s">
        <v>88</v>
      </c>
      <c r="C203" s="277" t="s">
        <v>460</v>
      </c>
      <c r="D203" s="94">
        <v>1531000</v>
      </c>
      <c r="E203" s="94">
        <v>5480018</v>
      </c>
      <c r="F203" s="94">
        <v>3500000</v>
      </c>
    </row>
    <row r="204" spans="1:6" s="265" customFormat="1" ht="16.5" customHeight="1" x14ac:dyDescent="0.25">
      <c r="B204" s="14" t="s">
        <v>137</v>
      </c>
      <c r="C204" s="14" t="s">
        <v>533</v>
      </c>
      <c r="D204" s="94">
        <v>1440000</v>
      </c>
      <c r="E204" s="94">
        <v>845400</v>
      </c>
      <c r="F204" s="94">
        <v>5000000</v>
      </c>
    </row>
    <row r="205" spans="1:6" s="265" customFormat="1" ht="16.5" customHeight="1" x14ac:dyDescent="0.25">
      <c r="B205" s="14" t="s">
        <v>89</v>
      </c>
      <c r="C205" s="14" t="s">
        <v>422</v>
      </c>
      <c r="D205" s="257">
        <v>0</v>
      </c>
      <c r="E205" s="257">
        <v>71680</v>
      </c>
      <c r="F205" s="94">
        <v>0</v>
      </c>
    </row>
    <row r="206" spans="1:6" ht="16.5" customHeight="1" x14ac:dyDescent="0.25">
      <c r="A206" s="265"/>
      <c r="B206" s="61" t="s">
        <v>139</v>
      </c>
      <c r="C206" s="61" t="s">
        <v>140</v>
      </c>
      <c r="D206" s="217">
        <f>SUM(D197:D205)</f>
        <v>42682269</v>
      </c>
      <c r="E206" s="217">
        <f>SUM(E197:E205)</f>
        <v>64167459</v>
      </c>
      <c r="F206" s="176">
        <f>SUM(F197:F205)</f>
        <v>92963774</v>
      </c>
    </row>
    <row r="207" spans="1:6" x14ac:dyDescent="0.25">
      <c r="A207" s="265"/>
      <c r="B207" s="61" t="s">
        <v>141</v>
      </c>
      <c r="C207" s="61" t="s">
        <v>206</v>
      </c>
      <c r="D207" s="82">
        <v>5548695</v>
      </c>
      <c r="E207" s="82">
        <v>7371226</v>
      </c>
      <c r="F207" s="82">
        <f>F206*0.13-F208</f>
        <v>11525290.620000001</v>
      </c>
    </row>
    <row r="208" spans="1:6" x14ac:dyDescent="0.25">
      <c r="A208" s="265"/>
      <c r="B208" s="61" t="s">
        <v>141</v>
      </c>
      <c r="C208" s="61" t="s">
        <v>497</v>
      </c>
      <c r="D208" s="82"/>
      <c r="E208" s="82"/>
      <c r="F208" s="82">
        <v>560000</v>
      </c>
    </row>
    <row r="209" spans="2:6" x14ac:dyDescent="0.25">
      <c r="B209" s="14" t="s">
        <v>182</v>
      </c>
      <c r="C209" s="14" t="s">
        <v>303</v>
      </c>
      <c r="D209" s="62">
        <v>100000</v>
      </c>
      <c r="E209" s="94">
        <v>399467</v>
      </c>
      <c r="F209" s="62">
        <v>500000</v>
      </c>
    </row>
    <row r="210" spans="2:6" x14ac:dyDescent="0.25">
      <c r="B210" s="14" t="s">
        <v>143</v>
      </c>
      <c r="C210" s="14" t="s">
        <v>534</v>
      </c>
      <c r="D210" s="62">
        <v>1500000</v>
      </c>
      <c r="E210" s="94">
        <v>2391465</v>
      </c>
      <c r="F210" s="94">
        <v>2500000</v>
      </c>
    </row>
    <row r="211" spans="2:6" x14ac:dyDescent="0.25">
      <c r="B211" s="14" t="s">
        <v>183</v>
      </c>
      <c r="C211" s="14" t="s">
        <v>535</v>
      </c>
      <c r="D211" s="62">
        <v>300000</v>
      </c>
      <c r="E211" s="94">
        <v>664400</v>
      </c>
      <c r="F211" s="62">
        <v>700000</v>
      </c>
    </row>
    <row r="212" spans="2:6" x14ac:dyDescent="0.25">
      <c r="B212" s="14" t="s">
        <v>144</v>
      </c>
      <c r="C212" s="14" t="s">
        <v>461</v>
      </c>
      <c r="D212" s="62">
        <v>350000</v>
      </c>
      <c r="E212" s="94">
        <v>379848</v>
      </c>
      <c r="F212" s="62">
        <v>500000</v>
      </c>
    </row>
    <row r="213" spans="2:6" x14ac:dyDescent="0.25">
      <c r="B213" s="14" t="s">
        <v>175</v>
      </c>
      <c r="C213" s="14" t="s">
        <v>184</v>
      </c>
      <c r="D213" s="244">
        <v>650000</v>
      </c>
      <c r="E213" s="218">
        <v>367688</v>
      </c>
      <c r="F213" s="205">
        <v>600000</v>
      </c>
    </row>
    <row r="214" spans="2:6" x14ac:dyDescent="0.25">
      <c r="B214" s="14" t="s">
        <v>185</v>
      </c>
      <c r="C214" s="14" t="s">
        <v>186</v>
      </c>
      <c r="D214" s="219">
        <v>1665000</v>
      </c>
      <c r="E214" s="219">
        <v>1598736</v>
      </c>
      <c r="F214" s="95">
        <v>1500000</v>
      </c>
    </row>
    <row r="215" spans="2:6" x14ac:dyDescent="0.25">
      <c r="B215" s="14" t="s">
        <v>187</v>
      </c>
      <c r="C215" s="14" t="s">
        <v>188</v>
      </c>
      <c r="D215" s="244">
        <v>200000</v>
      </c>
      <c r="E215" s="218">
        <v>137426</v>
      </c>
      <c r="F215" s="205">
        <v>200000</v>
      </c>
    </row>
    <row r="216" spans="2:6" x14ac:dyDescent="0.25">
      <c r="B216" s="14" t="s">
        <v>147</v>
      </c>
      <c r="C216" s="14" t="s">
        <v>536</v>
      </c>
      <c r="D216" s="62">
        <v>500000</v>
      </c>
      <c r="E216" s="94">
        <v>757996</v>
      </c>
      <c r="F216" s="62">
        <v>900000</v>
      </c>
    </row>
    <row r="217" spans="2:6" x14ac:dyDescent="0.25">
      <c r="B217" s="14" t="s">
        <v>94</v>
      </c>
      <c r="C217" s="14" t="s">
        <v>537</v>
      </c>
      <c r="D217" s="62">
        <v>3500000</v>
      </c>
      <c r="E217" s="94">
        <v>2684000</v>
      </c>
      <c r="F217" s="62">
        <v>3000000</v>
      </c>
    </row>
    <row r="218" spans="2:6" x14ac:dyDescent="0.25">
      <c r="B218" s="14" t="s">
        <v>95</v>
      </c>
      <c r="C218" s="45" t="s">
        <v>462</v>
      </c>
      <c r="D218" s="100">
        <v>800000</v>
      </c>
      <c r="E218" s="177">
        <v>521224</v>
      </c>
      <c r="F218" s="100">
        <v>500000</v>
      </c>
    </row>
    <row r="219" spans="2:6" x14ac:dyDescent="0.25">
      <c r="B219" s="14" t="s">
        <v>190</v>
      </c>
      <c r="C219" s="14" t="s">
        <v>208</v>
      </c>
      <c r="D219" s="62">
        <v>50000</v>
      </c>
      <c r="E219" s="94">
        <v>0</v>
      </c>
      <c r="F219" s="62">
        <v>0</v>
      </c>
    </row>
    <row r="220" spans="2:6" x14ac:dyDescent="0.25">
      <c r="B220" s="14" t="s">
        <v>96</v>
      </c>
      <c r="C220" s="14" t="s">
        <v>160</v>
      </c>
      <c r="D220" s="62">
        <v>2076840</v>
      </c>
      <c r="E220" s="177">
        <v>1612473</v>
      </c>
      <c r="F220" s="94">
        <v>2943000</v>
      </c>
    </row>
    <row r="221" spans="2:6" x14ac:dyDescent="0.25">
      <c r="B221" s="14" t="s">
        <v>102</v>
      </c>
      <c r="C221" s="14" t="s">
        <v>209</v>
      </c>
      <c r="D221" s="62">
        <v>50000</v>
      </c>
      <c r="E221" s="214">
        <v>0</v>
      </c>
      <c r="F221" s="62">
        <v>0</v>
      </c>
    </row>
    <row r="222" spans="2:6" x14ac:dyDescent="0.25">
      <c r="B222" s="61" t="s">
        <v>98</v>
      </c>
      <c r="C222" s="61" t="s">
        <v>194</v>
      </c>
      <c r="D222" s="84">
        <f t="shared" ref="D222" si="21">SUM(D209:D221)</f>
        <v>11741840</v>
      </c>
      <c r="E222" s="174">
        <f>SUM(E209:E221)</f>
        <v>11514723</v>
      </c>
      <c r="F222" s="84">
        <f>SUM(F209:F221)</f>
        <v>13843000</v>
      </c>
    </row>
    <row r="223" spans="2:6" x14ac:dyDescent="0.25">
      <c r="B223" s="14" t="s">
        <v>195</v>
      </c>
      <c r="C223" s="14" t="s">
        <v>210</v>
      </c>
      <c r="D223" s="62">
        <v>40000</v>
      </c>
      <c r="E223" s="94">
        <v>0</v>
      </c>
      <c r="F223" s="62">
        <v>300000</v>
      </c>
    </row>
    <row r="224" spans="2:6" x14ac:dyDescent="0.25">
      <c r="B224" s="75" t="s">
        <v>150</v>
      </c>
      <c r="C224" s="75" t="s">
        <v>530</v>
      </c>
      <c r="D224" s="62">
        <v>400000</v>
      </c>
      <c r="E224" s="94">
        <v>1022941</v>
      </c>
      <c r="F224" s="94">
        <v>2000000</v>
      </c>
    </row>
    <row r="225" spans="2:6" x14ac:dyDescent="0.25">
      <c r="B225" s="14" t="s">
        <v>152</v>
      </c>
      <c r="C225" s="14" t="s">
        <v>212</v>
      </c>
      <c r="D225" s="62">
        <f>(D223+D224)*0.27</f>
        <v>118800.00000000001</v>
      </c>
      <c r="E225" s="94">
        <v>276195</v>
      </c>
      <c r="F225" s="94">
        <v>621000</v>
      </c>
    </row>
    <row r="226" spans="2:6" x14ac:dyDescent="0.25">
      <c r="B226" s="61" t="s">
        <v>154</v>
      </c>
      <c r="C226" s="61" t="s">
        <v>155</v>
      </c>
      <c r="D226" s="64">
        <f>SUM(D223:D225)</f>
        <v>558800</v>
      </c>
      <c r="E226" s="96">
        <f t="shared" ref="E226" si="22">SUM(E223:E225)</f>
        <v>1299136</v>
      </c>
      <c r="F226" s="96">
        <f>SUM(F223:F225)</f>
        <v>2921000</v>
      </c>
    </row>
    <row r="227" spans="2:6" x14ac:dyDescent="0.25">
      <c r="B227" s="145" t="s">
        <v>100</v>
      </c>
      <c r="C227" s="145"/>
      <c r="D227" s="28">
        <f>SUM(D206+D207+D222+D226)</f>
        <v>60531604</v>
      </c>
      <c r="E227" s="28">
        <f>E226+E222+E206+E207</f>
        <v>84352544</v>
      </c>
      <c r="F227" s="28">
        <f>F226+F222+F206+F207+F208</f>
        <v>121813064.62</v>
      </c>
    </row>
    <row r="228" spans="2:6" x14ac:dyDescent="0.25">
      <c r="B228" s="1"/>
      <c r="C228" s="69"/>
      <c r="D228" s="173"/>
      <c r="E228" s="173"/>
      <c r="F228" s="104"/>
    </row>
    <row r="229" spans="2:6" x14ac:dyDescent="0.25">
      <c r="B229" s="1"/>
      <c r="C229" s="70"/>
      <c r="D229" s="173"/>
      <c r="E229" s="173"/>
      <c r="F229" s="104"/>
    </row>
    <row r="230" spans="2:6" x14ac:dyDescent="0.25">
      <c r="B230" s="61" t="s">
        <v>213</v>
      </c>
      <c r="C230" s="61"/>
      <c r="D230" s="61"/>
      <c r="E230" s="61"/>
      <c r="F230" s="61"/>
    </row>
    <row r="231" spans="2:6" x14ac:dyDescent="0.25">
      <c r="B231" s="14" t="s">
        <v>133</v>
      </c>
      <c r="C231" s="14" t="s">
        <v>463</v>
      </c>
      <c r="D231" s="62">
        <v>3162252</v>
      </c>
      <c r="E231" s="94">
        <v>3162252</v>
      </c>
      <c r="F231" s="62">
        <v>3636588</v>
      </c>
    </row>
    <row r="232" spans="2:6" x14ac:dyDescent="0.25">
      <c r="B232" s="14" t="s">
        <v>135</v>
      </c>
      <c r="C232" s="14" t="s">
        <v>200</v>
      </c>
      <c r="D232" s="100">
        <v>44140</v>
      </c>
      <c r="E232" s="177">
        <v>44140</v>
      </c>
      <c r="F232" s="100">
        <v>0</v>
      </c>
    </row>
    <row r="233" spans="2:6" x14ac:dyDescent="0.25">
      <c r="B233" s="61" t="s">
        <v>139</v>
      </c>
      <c r="C233" s="61" t="s">
        <v>214</v>
      </c>
      <c r="D233" s="64">
        <f t="shared" ref="D233" si="23">SUM(D231:D232)</f>
        <v>3206392</v>
      </c>
      <c r="E233" s="130">
        <f t="shared" ref="E233:F233" si="24">SUM(E231:E232)</f>
        <v>3206392</v>
      </c>
      <c r="F233" s="83">
        <f t="shared" si="24"/>
        <v>3636588</v>
      </c>
    </row>
    <row r="234" spans="2:6" x14ac:dyDescent="0.25">
      <c r="B234" s="61" t="s">
        <v>141</v>
      </c>
      <c r="C234" s="61" t="s">
        <v>215</v>
      </c>
      <c r="D234" s="234">
        <v>411093</v>
      </c>
      <c r="E234" s="82">
        <v>428225</v>
      </c>
      <c r="F234" s="81">
        <f>F233*0.13</f>
        <v>472756.44</v>
      </c>
    </row>
    <row r="235" spans="2:6" x14ac:dyDescent="0.25">
      <c r="B235" s="14" t="s">
        <v>182</v>
      </c>
      <c r="C235" s="14" t="s">
        <v>538</v>
      </c>
      <c r="D235" s="245">
        <v>50000</v>
      </c>
      <c r="E235" s="95">
        <v>0</v>
      </c>
      <c r="F235" s="206">
        <v>0</v>
      </c>
    </row>
    <row r="236" spans="2:6" x14ac:dyDescent="0.25">
      <c r="B236" s="43" t="s">
        <v>143</v>
      </c>
      <c r="C236" s="14" t="s">
        <v>464</v>
      </c>
      <c r="D236" s="62">
        <v>150000</v>
      </c>
      <c r="E236" s="94">
        <v>331853</v>
      </c>
      <c r="F236" s="62">
        <v>400000</v>
      </c>
    </row>
    <row r="237" spans="2:6" x14ac:dyDescent="0.25">
      <c r="B237" s="14" t="s">
        <v>183</v>
      </c>
      <c r="C237" s="14" t="s">
        <v>465</v>
      </c>
      <c r="D237" s="62">
        <v>150000</v>
      </c>
      <c r="E237" s="94">
        <v>102398</v>
      </c>
      <c r="F237" s="62">
        <v>120000</v>
      </c>
    </row>
    <row r="238" spans="2:6" x14ac:dyDescent="0.25">
      <c r="B238" s="14" t="s">
        <v>144</v>
      </c>
      <c r="C238" s="14" t="s">
        <v>466</v>
      </c>
      <c r="D238" s="62">
        <v>100000</v>
      </c>
      <c r="E238" s="94">
        <v>94962</v>
      </c>
      <c r="F238" s="62">
        <v>100000</v>
      </c>
    </row>
    <row r="239" spans="2:6" x14ac:dyDescent="0.25">
      <c r="B239" s="14" t="s">
        <v>175</v>
      </c>
      <c r="C239" s="14" t="s">
        <v>184</v>
      </c>
      <c r="D239" s="244">
        <v>200000</v>
      </c>
      <c r="E239" s="218">
        <v>104861</v>
      </c>
      <c r="F239" s="205">
        <v>200000</v>
      </c>
    </row>
    <row r="240" spans="2:6" x14ac:dyDescent="0.25">
      <c r="B240" s="14" t="s">
        <v>185</v>
      </c>
      <c r="C240" s="14" t="s">
        <v>186</v>
      </c>
      <c r="D240" s="245">
        <v>500000</v>
      </c>
      <c r="E240" s="219">
        <v>399684</v>
      </c>
      <c r="F240" s="206">
        <v>500000</v>
      </c>
    </row>
    <row r="241" spans="2:6" x14ac:dyDescent="0.25">
      <c r="B241" s="14" t="s">
        <v>187</v>
      </c>
      <c r="C241" s="14" t="s">
        <v>188</v>
      </c>
      <c r="D241" s="244">
        <v>50000</v>
      </c>
      <c r="E241" s="218">
        <v>34353</v>
      </c>
      <c r="F241" s="205">
        <v>50000</v>
      </c>
    </row>
    <row r="242" spans="2:6" x14ac:dyDescent="0.25">
      <c r="B242" s="14" t="s">
        <v>147</v>
      </c>
      <c r="C242" s="14" t="s">
        <v>148</v>
      </c>
      <c r="D242" s="62">
        <v>100000</v>
      </c>
      <c r="E242" s="94">
        <v>40304</v>
      </c>
      <c r="F242" s="62">
        <v>50000</v>
      </c>
    </row>
    <row r="243" spans="2:6" x14ac:dyDescent="0.25">
      <c r="B243" s="14" t="s">
        <v>94</v>
      </c>
      <c r="C243" s="14" t="s">
        <v>216</v>
      </c>
      <c r="D243" s="62">
        <v>50000</v>
      </c>
      <c r="E243" s="94">
        <v>0</v>
      </c>
      <c r="F243" s="62">
        <v>0</v>
      </c>
    </row>
    <row r="244" spans="2:6" x14ac:dyDescent="0.25">
      <c r="B244" s="14" t="s">
        <v>95</v>
      </c>
      <c r="C244" s="14" t="s">
        <v>217</v>
      </c>
      <c r="D244" s="62">
        <v>200000</v>
      </c>
      <c r="E244" s="94">
        <v>48104</v>
      </c>
      <c r="F244" s="62">
        <v>50000</v>
      </c>
    </row>
    <row r="245" spans="2:6" x14ac:dyDescent="0.25">
      <c r="B245" s="14" t="s">
        <v>96</v>
      </c>
      <c r="C245" s="14" t="s">
        <v>160</v>
      </c>
      <c r="D245" s="62">
        <v>334800</v>
      </c>
      <c r="E245" s="94">
        <v>291206</v>
      </c>
      <c r="F245" s="62">
        <v>396900</v>
      </c>
    </row>
    <row r="246" spans="2:6" x14ac:dyDescent="0.25">
      <c r="B246" s="61" t="s">
        <v>98</v>
      </c>
      <c r="C246" s="61" t="s">
        <v>99</v>
      </c>
      <c r="D246" s="65">
        <f t="shared" ref="D246" si="25">SUM(D235:D245)</f>
        <v>1884800</v>
      </c>
      <c r="E246" s="80">
        <f t="shared" ref="E246" si="26">SUM(E235:E245)</f>
        <v>1447725</v>
      </c>
      <c r="F246" s="65">
        <f>SUM(F235:F245)</f>
        <v>1866900</v>
      </c>
    </row>
    <row r="247" spans="2:6" x14ac:dyDescent="0.25">
      <c r="B247" s="14" t="s">
        <v>150</v>
      </c>
      <c r="C247" s="14" t="s">
        <v>211</v>
      </c>
      <c r="D247" s="24">
        <v>100000</v>
      </c>
      <c r="E247" s="20">
        <v>0</v>
      </c>
      <c r="F247" s="24">
        <v>0</v>
      </c>
    </row>
    <row r="248" spans="2:6" x14ac:dyDescent="0.25">
      <c r="B248" s="14" t="s">
        <v>152</v>
      </c>
      <c r="C248" s="14" t="s">
        <v>212</v>
      </c>
      <c r="D248" s="24">
        <v>27000</v>
      </c>
      <c r="E248" s="20">
        <v>0</v>
      </c>
      <c r="F248" s="24">
        <v>0</v>
      </c>
    </row>
    <row r="249" spans="2:6" x14ac:dyDescent="0.25">
      <c r="B249" s="61" t="s">
        <v>154</v>
      </c>
      <c r="C249" s="61" t="s">
        <v>218</v>
      </c>
      <c r="D249" s="246">
        <f t="shared" ref="D249" si="27">SUM(D247:D248)</f>
        <v>127000</v>
      </c>
      <c r="E249" s="101">
        <f t="shared" ref="E249:F249" si="28">SUM(E247:E248)</f>
        <v>0</v>
      </c>
      <c r="F249" s="101">
        <f t="shared" si="28"/>
        <v>0</v>
      </c>
    </row>
    <row r="250" spans="2:6" x14ac:dyDescent="0.25">
      <c r="B250" s="148" t="s">
        <v>100</v>
      </c>
      <c r="C250" s="148"/>
      <c r="D250" s="28">
        <f t="shared" ref="D250" si="29">D233+D234+D246+D249</f>
        <v>5629285</v>
      </c>
      <c r="E250" s="28">
        <f t="shared" ref="E250" si="30">E233+E234+E246+E249</f>
        <v>5082342</v>
      </c>
      <c r="F250" s="28">
        <f>F233+F234+F246+F249</f>
        <v>5976244.4399999995</v>
      </c>
    </row>
    <row r="251" spans="2:6" x14ac:dyDescent="0.25">
      <c r="C251" s="269"/>
      <c r="D251" s="173"/>
      <c r="E251" s="173"/>
      <c r="F251" s="104"/>
    </row>
    <row r="252" spans="2:6" x14ac:dyDescent="0.25">
      <c r="C252" s="260"/>
      <c r="D252" s="173"/>
      <c r="E252" s="173"/>
      <c r="F252" s="60"/>
    </row>
    <row r="253" spans="2:6" x14ac:dyDescent="0.25">
      <c r="B253" s="61" t="s">
        <v>219</v>
      </c>
      <c r="C253" s="61"/>
      <c r="D253" s="61"/>
      <c r="E253" s="61"/>
      <c r="F253" s="61"/>
    </row>
    <row r="254" spans="2:6" x14ac:dyDescent="0.25">
      <c r="B254" s="14" t="s">
        <v>143</v>
      </c>
      <c r="C254" s="14" t="s">
        <v>220</v>
      </c>
      <c r="D254" s="105">
        <v>100000</v>
      </c>
      <c r="E254" s="178">
        <v>42150</v>
      </c>
      <c r="F254" s="105">
        <v>100000</v>
      </c>
    </row>
    <row r="255" spans="2:6" x14ac:dyDescent="0.25">
      <c r="B255" s="14" t="s">
        <v>95</v>
      </c>
      <c r="C255" s="14" t="s">
        <v>158</v>
      </c>
      <c r="D255" s="33">
        <v>0</v>
      </c>
      <c r="E255" s="178">
        <v>2110</v>
      </c>
      <c r="F255" s="105">
        <v>50000</v>
      </c>
    </row>
    <row r="256" spans="2:6" x14ac:dyDescent="0.25">
      <c r="B256" s="14" t="s">
        <v>96</v>
      </c>
      <c r="C256" s="14" t="s">
        <v>97</v>
      </c>
      <c r="D256" s="105">
        <v>27000</v>
      </c>
      <c r="E256" s="178">
        <v>11950</v>
      </c>
      <c r="F256" s="105">
        <v>40500</v>
      </c>
    </row>
    <row r="257" spans="2:6" x14ac:dyDescent="0.25">
      <c r="B257" s="61" t="s">
        <v>98</v>
      </c>
      <c r="C257" s="61" t="s">
        <v>99</v>
      </c>
      <c r="D257" s="64">
        <f>SUM(D254:D256)</f>
        <v>127000</v>
      </c>
      <c r="E257" s="96">
        <f t="shared" ref="E257" si="31">SUM(E254:E256)</f>
        <v>56210</v>
      </c>
      <c r="F257" s="96">
        <f t="shared" ref="F257" si="32">SUM(F254:F256)</f>
        <v>190500</v>
      </c>
    </row>
    <row r="258" spans="2:6" x14ac:dyDescent="0.25">
      <c r="B258" s="14" t="s">
        <v>150</v>
      </c>
      <c r="C258" s="14" t="s">
        <v>380</v>
      </c>
      <c r="D258" s="105">
        <v>200000</v>
      </c>
      <c r="E258" s="178">
        <v>0</v>
      </c>
      <c r="F258" s="105">
        <v>200000</v>
      </c>
    </row>
    <row r="259" spans="2:6" x14ac:dyDescent="0.25">
      <c r="B259" s="14" t="s">
        <v>152</v>
      </c>
      <c r="C259" s="14" t="s">
        <v>212</v>
      </c>
      <c r="D259" s="105">
        <v>54000</v>
      </c>
      <c r="E259" s="178">
        <v>0</v>
      </c>
      <c r="F259" s="105">
        <v>54000</v>
      </c>
    </row>
    <row r="260" spans="2:6" x14ac:dyDescent="0.25">
      <c r="B260" s="61" t="s">
        <v>154</v>
      </c>
      <c r="C260" s="61" t="s">
        <v>221</v>
      </c>
      <c r="D260" s="64">
        <f t="shared" ref="D260" si="33">SUM(D258:D259)</f>
        <v>254000</v>
      </c>
      <c r="E260" s="96">
        <f t="shared" ref="E260:F260" si="34">SUM(E258:E259)</f>
        <v>0</v>
      </c>
      <c r="F260" s="96">
        <f t="shared" si="34"/>
        <v>254000</v>
      </c>
    </row>
    <row r="261" spans="2:6" x14ac:dyDescent="0.25">
      <c r="B261" s="148" t="s">
        <v>100</v>
      </c>
      <c r="C261" s="148"/>
      <c r="D261" s="67">
        <f t="shared" ref="D261" si="35">D257+D260</f>
        <v>381000</v>
      </c>
      <c r="E261" s="67">
        <f t="shared" ref="E261" si="36">E257+E260</f>
        <v>56210</v>
      </c>
      <c r="F261" s="67">
        <f>F257+F260</f>
        <v>444500</v>
      </c>
    </row>
    <row r="262" spans="2:6" x14ac:dyDescent="0.25">
      <c r="C262" s="269"/>
      <c r="D262" s="173"/>
      <c r="E262" s="173"/>
      <c r="F262" s="60"/>
    </row>
    <row r="263" spans="2:6" x14ac:dyDescent="0.25">
      <c r="B263" s="1"/>
      <c r="C263" s="70"/>
      <c r="D263" s="1"/>
      <c r="E263" s="1"/>
      <c r="F263" s="1"/>
    </row>
    <row r="264" spans="2:6" x14ac:dyDescent="0.25">
      <c r="B264" s="61" t="s">
        <v>222</v>
      </c>
      <c r="C264" s="61"/>
      <c r="D264" s="247">
        <v>0</v>
      </c>
      <c r="E264" s="61"/>
      <c r="F264" s="61"/>
    </row>
    <row r="265" spans="2:6" x14ac:dyDescent="0.25">
      <c r="B265" s="15" t="s">
        <v>133</v>
      </c>
      <c r="C265" s="14" t="s">
        <v>539</v>
      </c>
      <c r="D265" s="247">
        <v>0</v>
      </c>
      <c r="E265" s="106">
        <v>1046400</v>
      </c>
      <c r="F265" s="106">
        <v>11713440</v>
      </c>
    </row>
    <row r="266" spans="2:6" x14ac:dyDescent="0.25">
      <c r="B266" s="15" t="s">
        <v>179</v>
      </c>
      <c r="C266" s="14" t="s">
        <v>381</v>
      </c>
      <c r="D266" s="247">
        <v>0</v>
      </c>
      <c r="E266" s="106">
        <v>4000</v>
      </c>
      <c r="F266" s="106">
        <v>270672</v>
      </c>
    </row>
    <row r="267" spans="2:6" x14ac:dyDescent="0.25">
      <c r="B267" s="15" t="s">
        <v>88</v>
      </c>
      <c r="C267" s="14" t="s">
        <v>200</v>
      </c>
      <c r="D267" s="247">
        <v>0</v>
      </c>
      <c r="E267" s="247">
        <v>0</v>
      </c>
      <c r="F267" s="106">
        <v>0</v>
      </c>
    </row>
    <row r="268" spans="2:6" x14ac:dyDescent="0.25">
      <c r="B268" s="14" t="s">
        <v>137</v>
      </c>
      <c r="C268" s="14" t="s">
        <v>467</v>
      </c>
      <c r="D268" s="93">
        <v>9273420</v>
      </c>
      <c r="E268" s="79">
        <v>8951174</v>
      </c>
      <c r="F268" s="93">
        <v>0</v>
      </c>
    </row>
    <row r="269" spans="2:6" x14ac:dyDescent="0.25">
      <c r="B269" s="14" t="s">
        <v>89</v>
      </c>
      <c r="C269" s="14" t="s">
        <v>422</v>
      </c>
      <c r="D269" s="247">
        <v>0</v>
      </c>
      <c r="E269" s="79">
        <v>437190</v>
      </c>
      <c r="F269" s="247">
        <v>0</v>
      </c>
    </row>
    <row r="270" spans="2:6" x14ac:dyDescent="0.25">
      <c r="B270" s="61" t="s">
        <v>139</v>
      </c>
      <c r="C270" s="61" t="s">
        <v>223</v>
      </c>
      <c r="D270" s="217">
        <f>SUM(D264:D268)</f>
        <v>9273420</v>
      </c>
      <c r="E270" s="176">
        <f>SUM(E265:E269)</f>
        <v>10438764</v>
      </c>
      <c r="F270" s="176">
        <f>SUM(F265:F269)</f>
        <v>11984112</v>
      </c>
    </row>
    <row r="271" spans="2:6" x14ac:dyDescent="0.25">
      <c r="B271" s="61" t="s">
        <v>141</v>
      </c>
      <c r="C271" s="61" t="s">
        <v>142</v>
      </c>
      <c r="D271" s="81">
        <v>1205545</v>
      </c>
      <c r="E271" s="82">
        <v>1163606</v>
      </c>
      <c r="F271" s="81">
        <f>F270*0.13</f>
        <v>1557934.56</v>
      </c>
    </row>
    <row r="272" spans="2:6" x14ac:dyDescent="0.25">
      <c r="B272" s="14" t="s">
        <v>143</v>
      </c>
      <c r="C272" s="14" t="s">
        <v>523</v>
      </c>
      <c r="D272" s="248">
        <v>0</v>
      </c>
      <c r="E272" s="19">
        <v>553825</v>
      </c>
      <c r="F272" s="19">
        <v>600000</v>
      </c>
    </row>
    <row r="273" spans="2:7" x14ac:dyDescent="0.25">
      <c r="B273" s="14" t="s">
        <v>144</v>
      </c>
      <c r="C273" s="14" t="s">
        <v>468</v>
      </c>
      <c r="D273" s="20">
        <v>650000</v>
      </c>
      <c r="E273" s="20">
        <v>588249</v>
      </c>
      <c r="F273" s="20">
        <v>600000</v>
      </c>
    </row>
    <row r="274" spans="2:7" x14ac:dyDescent="0.25">
      <c r="B274" s="14" t="s">
        <v>175</v>
      </c>
      <c r="C274" s="14" t="s">
        <v>184</v>
      </c>
      <c r="D274" s="93">
        <v>1200000</v>
      </c>
      <c r="E274" s="79">
        <v>1119508</v>
      </c>
      <c r="F274" s="93">
        <v>1200000</v>
      </c>
    </row>
    <row r="275" spans="2:7" x14ac:dyDescent="0.25">
      <c r="B275" s="14" t="s">
        <v>185</v>
      </c>
      <c r="C275" s="14" t="s">
        <v>186</v>
      </c>
      <c r="D275" s="23">
        <v>900000</v>
      </c>
      <c r="E275" s="19">
        <v>1045084</v>
      </c>
      <c r="F275" s="23">
        <v>1000000</v>
      </c>
    </row>
    <row r="276" spans="2:7" x14ac:dyDescent="0.25">
      <c r="B276" s="14" t="s">
        <v>187</v>
      </c>
      <c r="C276" s="15" t="s">
        <v>334</v>
      </c>
      <c r="D276" s="33">
        <v>0</v>
      </c>
      <c r="E276" s="19">
        <v>127960</v>
      </c>
      <c r="F276" s="19">
        <v>200000</v>
      </c>
    </row>
    <row r="277" spans="2:7" x14ac:dyDescent="0.25">
      <c r="B277" s="14" t="s">
        <v>147</v>
      </c>
      <c r="C277" s="14" t="s">
        <v>284</v>
      </c>
      <c r="D277" s="33">
        <v>0</v>
      </c>
      <c r="E277" s="19">
        <v>722202</v>
      </c>
      <c r="F277" s="23">
        <v>1000000</v>
      </c>
    </row>
    <row r="278" spans="2:7" s="265" customFormat="1" x14ac:dyDescent="0.25">
      <c r="B278" s="14" t="s">
        <v>95</v>
      </c>
      <c r="C278" s="14" t="s">
        <v>512</v>
      </c>
      <c r="D278" s="24">
        <v>300000</v>
      </c>
      <c r="E278" s="20">
        <v>1153390</v>
      </c>
      <c r="F278" s="20">
        <v>2340000</v>
      </c>
    </row>
    <row r="279" spans="2:7" x14ac:dyDescent="0.25">
      <c r="B279" s="14" t="s">
        <v>96</v>
      </c>
      <c r="C279" s="14" t="s">
        <v>160</v>
      </c>
      <c r="D279" s="93">
        <v>658800</v>
      </c>
      <c r="E279" s="79">
        <v>1075686</v>
      </c>
      <c r="F279" s="79">
        <v>1873800</v>
      </c>
    </row>
    <row r="280" spans="2:7" x14ac:dyDescent="0.25">
      <c r="B280" s="61" t="s">
        <v>225</v>
      </c>
      <c r="C280" s="61" t="s">
        <v>226</v>
      </c>
      <c r="D280" s="84">
        <f>SUM(D273:D279)</f>
        <v>3708800</v>
      </c>
      <c r="E280" s="84">
        <f>SUM(E272:E279)</f>
        <v>6385904</v>
      </c>
      <c r="F280" s="84">
        <f>SUM(F272:F279)</f>
        <v>8813800</v>
      </c>
    </row>
    <row r="281" spans="2:7" x14ac:dyDescent="0.25">
      <c r="B281" s="148" t="s">
        <v>156</v>
      </c>
      <c r="C281" s="151"/>
      <c r="D281" s="67">
        <f>D270+D271+D280</f>
        <v>14187765</v>
      </c>
      <c r="E281" s="28">
        <f>E280+E271+E270</f>
        <v>17988274</v>
      </c>
      <c r="F281" s="28">
        <f>F280+F271+F270</f>
        <v>22355846.560000002</v>
      </c>
      <c r="G281" s="262"/>
    </row>
    <row r="282" spans="2:7" x14ac:dyDescent="0.25">
      <c r="C282" s="269"/>
      <c r="D282" s="173"/>
      <c r="E282" s="173"/>
      <c r="F282" s="104"/>
    </row>
    <row r="283" spans="2:7" x14ac:dyDescent="0.25">
      <c r="C283" s="260"/>
      <c r="D283" s="173"/>
      <c r="E283" s="173"/>
      <c r="F283" s="60"/>
    </row>
    <row r="284" spans="2:7" x14ac:dyDescent="0.25">
      <c r="B284" s="61" t="s">
        <v>227</v>
      </c>
      <c r="C284" s="61"/>
      <c r="D284" s="61"/>
      <c r="E284" s="61"/>
      <c r="F284" s="61"/>
    </row>
    <row r="285" spans="2:7" x14ac:dyDescent="0.25">
      <c r="B285" s="14" t="s">
        <v>137</v>
      </c>
      <c r="C285" s="14" t="s">
        <v>228</v>
      </c>
      <c r="D285" s="23">
        <v>16774920</v>
      </c>
      <c r="E285" s="19">
        <v>8470397</v>
      </c>
      <c r="F285" s="19">
        <v>8156640</v>
      </c>
    </row>
    <row r="286" spans="2:7" x14ac:dyDescent="0.25">
      <c r="B286" s="61" t="s">
        <v>139</v>
      </c>
      <c r="C286" s="61" t="s">
        <v>140</v>
      </c>
      <c r="D286" s="96">
        <f t="shared" ref="D286" si="37">SUM(D285:D285)</f>
        <v>16774920</v>
      </c>
      <c r="E286" s="174">
        <f t="shared" ref="E286:F286" si="38">SUM(E285:E285)</f>
        <v>8470397</v>
      </c>
      <c r="F286" s="66">
        <f t="shared" si="38"/>
        <v>8156640</v>
      </c>
    </row>
    <row r="287" spans="2:7" x14ac:dyDescent="0.25">
      <c r="B287" s="78" t="s">
        <v>141</v>
      </c>
      <c r="C287" s="78" t="s">
        <v>229</v>
      </c>
      <c r="D287" s="81">
        <v>2180740</v>
      </c>
      <c r="E287" s="82">
        <v>1081148</v>
      </c>
      <c r="F287" s="81">
        <f>F286*0.13</f>
        <v>1060363.2</v>
      </c>
    </row>
    <row r="288" spans="2:7" x14ac:dyDescent="0.25">
      <c r="B288" s="14" t="s">
        <v>96</v>
      </c>
      <c r="C288" s="75" t="s">
        <v>230</v>
      </c>
      <c r="D288" s="93">
        <v>160000</v>
      </c>
      <c r="E288" s="79">
        <v>428236</v>
      </c>
      <c r="F288" s="93">
        <v>945000</v>
      </c>
    </row>
    <row r="289" spans="2:6" x14ac:dyDescent="0.25">
      <c r="B289" s="75" t="s">
        <v>102</v>
      </c>
      <c r="C289" s="75" t="s">
        <v>231</v>
      </c>
      <c r="D289" s="93">
        <v>3200000</v>
      </c>
      <c r="E289" s="79">
        <v>3091742</v>
      </c>
      <c r="F289" s="19">
        <v>3500000</v>
      </c>
    </row>
    <row r="290" spans="2:6" x14ac:dyDescent="0.25">
      <c r="B290" s="61" t="s">
        <v>98</v>
      </c>
      <c r="C290" s="61" t="s">
        <v>232</v>
      </c>
      <c r="D290" s="84">
        <f t="shared" ref="D290" si="39">SUM(D288:D289)</f>
        <v>3360000</v>
      </c>
      <c r="E290" s="84">
        <f>SUM(E288:E289)</f>
        <v>3519978</v>
      </c>
      <c r="F290" s="107">
        <f>SUM(F288:F289)</f>
        <v>4445000</v>
      </c>
    </row>
    <row r="291" spans="2:6" x14ac:dyDescent="0.25">
      <c r="B291" s="148" t="s">
        <v>100</v>
      </c>
      <c r="C291" s="148"/>
      <c r="D291" s="67">
        <f t="shared" ref="D291" si="40">D286+D287+D290</f>
        <v>22315660</v>
      </c>
      <c r="E291" s="28">
        <f>E286+E287+E290</f>
        <v>13071523</v>
      </c>
      <c r="F291" s="28">
        <f>F286+F287+F290</f>
        <v>13662003.199999999</v>
      </c>
    </row>
    <row r="292" spans="2:6" x14ac:dyDescent="0.25">
      <c r="C292" s="269"/>
      <c r="D292" s="173"/>
      <c r="E292" s="173"/>
      <c r="F292" s="60"/>
    </row>
    <row r="293" spans="2:6" x14ac:dyDescent="0.25">
      <c r="C293" s="260"/>
      <c r="D293" s="173"/>
      <c r="E293" s="173"/>
      <c r="F293" s="60"/>
    </row>
    <row r="294" spans="2:6" x14ac:dyDescent="0.25">
      <c r="B294" s="61" t="s">
        <v>233</v>
      </c>
      <c r="C294" s="61"/>
      <c r="D294" s="61"/>
      <c r="E294" s="61"/>
      <c r="F294" s="61"/>
    </row>
    <row r="295" spans="2:6" x14ac:dyDescent="0.25">
      <c r="B295" s="14" t="s">
        <v>122</v>
      </c>
      <c r="C295" s="14" t="s">
        <v>469</v>
      </c>
      <c r="D295" s="62">
        <v>1000000</v>
      </c>
      <c r="E295" s="20">
        <v>0</v>
      </c>
      <c r="F295" s="24">
        <v>5000000</v>
      </c>
    </row>
    <row r="296" spans="2:6" x14ac:dyDescent="0.25">
      <c r="B296" s="148" t="s">
        <v>156</v>
      </c>
      <c r="C296" s="148"/>
      <c r="D296" s="67">
        <f t="shared" ref="D296" si="41">SUM(D295:D295)</f>
        <v>1000000</v>
      </c>
      <c r="E296" s="28">
        <f t="shared" ref="E296:F296" si="42">SUM(E295:E295)</f>
        <v>0</v>
      </c>
      <c r="F296" s="28">
        <f t="shared" si="42"/>
        <v>5000000</v>
      </c>
    </row>
    <row r="297" spans="2:6" x14ac:dyDescent="0.25">
      <c r="C297" s="269"/>
      <c r="D297" s="173"/>
      <c r="E297" s="173"/>
      <c r="F297" s="60"/>
    </row>
    <row r="298" spans="2:6" x14ac:dyDescent="0.25">
      <c r="C298" s="260"/>
      <c r="D298" s="173"/>
      <c r="E298" s="173"/>
      <c r="F298" s="60"/>
    </row>
    <row r="299" spans="2:6" x14ac:dyDescent="0.25">
      <c r="B299" s="61" t="s">
        <v>234</v>
      </c>
      <c r="C299" s="61"/>
      <c r="D299" s="61"/>
      <c r="E299" s="61"/>
      <c r="F299" s="61"/>
    </row>
    <row r="300" spans="2:6" x14ac:dyDescent="0.25">
      <c r="B300" s="14" t="s">
        <v>89</v>
      </c>
      <c r="C300" s="14" t="s">
        <v>138</v>
      </c>
      <c r="D300" s="23">
        <v>2580000</v>
      </c>
      <c r="E300" s="19">
        <v>2580000</v>
      </c>
      <c r="F300" s="93">
        <v>2580000</v>
      </c>
    </row>
    <row r="301" spans="2:6" x14ac:dyDescent="0.25">
      <c r="B301" s="61" t="s">
        <v>139</v>
      </c>
      <c r="C301" s="61" t="s">
        <v>181</v>
      </c>
      <c r="D301" s="64">
        <f t="shared" ref="D301" si="43">SUM(D300)</f>
        <v>2580000</v>
      </c>
      <c r="E301" s="217">
        <f t="shared" ref="E301" si="44">SUM(E300)</f>
        <v>2580000</v>
      </c>
      <c r="F301" s="98">
        <f t="shared" ref="F301" si="45">SUM(F300)</f>
        <v>2580000</v>
      </c>
    </row>
    <row r="302" spans="2:6" x14ac:dyDescent="0.25">
      <c r="B302" s="61" t="s">
        <v>141</v>
      </c>
      <c r="C302" s="61" t="s">
        <v>235</v>
      </c>
      <c r="D302" s="84">
        <v>335400</v>
      </c>
      <c r="E302" s="82">
        <v>321846</v>
      </c>
      <c r="F302" s="81">
        <f>F301*0.13</f>
        <v>335400</v>
      </c>
    </row>
    <row r="303" spans="2:6" x14ac:dyDescent="0.25">
      <c r="B303" s="14" t="s">
        <v>182</v>
      </c>
      <c r="C303" s="14" t="s">
        <v>236</v>
      </c>
      <c r="D303" s="24">
        <v>300000</v>
      </c>
      <c r="E303" s="20">
        <v>0</v>
      </c>
      <c r="F303" s="24">
        <v>0</v>
      </c>
    </row>
    <row r="304" spans="2:6" x14ac:dyDescent="0.25">
      <c r="B304" s="14" t="s">
        <v>143</v>
      </c>
      <c r="C304" s="14" t="s">
        <v>470</v>
      </c>
      <c r="D304" s="24">
        <v>300000</v>
      </c>
      <c r="E304" s="20">
        <v>261667</v>
      </c>
      <c r="F304" s="20">
        <v>300000</v>
      </c>
    </row>
    <row r="305" spans="2:6" x14ac:dyDescent="0.25">
      <c r="B305" s="14" t="s">
        <v>147</v>
      </c>
      <c r="C305" s="14" t="s">
        <v>471</v>
      </c>
      <c r="D305" s="24">
        <v>700000</v>
      </c>
      <c r="E305" s="20">
        <v>614172</v>
      </c>
      <c r="F305" s="24">
        <v>650000</v>
      </c>
    </row>
    <row r="306" spans="2:6" x14ac:dyDescent="0.25">
      <c r="B306" s="14" t="s">
        <v>95</v>
      </c>
      <c r="C306" s="14" t="s">
        <v>224</v>
      </c>
      <c r="D306" s="24">
        <v>300000</v>
      </c>
      <c r="E306" s="20">
        <v>0</v>
      </c>
      <c r="F306" s="24">
        <v>0</v>
      </c>
    </row>
    <row r="307" spans="2:6" x14ac:dyDescent="0.25">
      <c r="B307" s="14" t="s">
        <v>96</v>
      </c>
      <c r="C307" s="14" t="s">
        <v>97</v>
      </c>
      <c r="D307" s="24">
        <v>345600</v>
      </c>
      <c r="E307" s="20">
        <v>233831</v>
      </c>
      <c r="F307" s="24">
        <v>256500</v>
      </c>
    </row>
    <row r="308" spans="2:6" x14ac:dyDescent="0.25">
      <c r="B308" s="61" t="s">
        <v>98</v>
      </c>
      <c r="C308" s="61" t="s">
        <v>99</v>
      </c>
      <c r="D308" s="96">
        <f t="shared" ref="D308" si="46">SUM(D303:D307)</f>
        <v>1945600</v>
      </c>
      <c r="E308" s="96">
        <f t="shared" ref="E308" si="47">SUM(E303:E307)</f>
        <v>1109670</v>
      </c>
      <c r="F308" s="97">
        <f>SUM(F303:F307)</f>
        <v>1206500</v>
      </c>
    </row>
    <row r="309" spans="2:6" x14ac:dyDescent="0.25">
      <c r="B309" s="14" t="s">
        <v>150</v>
      </c>
      <c r="C309" s="14" t="s">
        <v>472</v>
      </c>
      <c r="D309" s="51">
        <v>450000</v>
      </c>
      <c r="E309" s="51">
        <v>1210000</v>
      </c>
      <c r="F309" s="52">
        <v>1000000</v>
      </c>
    </row>
    <row r="310" spans="2:6" x14ac:dyDescent="0.25">
      <c r="B310" s="14" t="s">
        <v>152</v>
      </c>
      <c r="C310" s="14" t="s">
        <v>212</v>
      </c>
      <c r="D310" s="265">
        <v>0</v>
      </c>
      <c r="E310" s="51"/>
      <c r="F310" s="52">
        <v>270000</v>
      </c>
    </row>
    <row r="311" spans="2:6" x14ac:dyDescent="0.25">
      <c r="B311" s="61" t="s">
        <v>154</v>
      </c>
      <c r="C311" s="61" t="s">
        <v>221</v>
      </c>
      <c r="D311" s="96">
        <f>SUM(D309:D310)</f>
        <v>450000</v>
      </c>
      <c r="E311" s="96">
        <f t="shared" ref="E311" si="48">SUM(E309)</f>
        <v>1210000</v>
      </c>
      <c r="F311" s="96">
        <f>SUM(F309:F310)</f>
        <v>1270000</v>
      </c>
    </row>
    <row r="312" spans="2:6" x14ac:dyDescent="0.25">
      <c r="B312" s="148" t="s">
        <v>156</v>
      </c>
      <c r="C312" s="148"/>
      <c r="D312" s="67">
        <f>D301+D302+D308+D311</f>
        <v>5311000</v>
      </c>
      <c r="E312" s="67">
        <f>E301+E302+E308+E311</f>
        <v>5221516</v>
      </c>
      <c r="F312" s="67">
        <f>F301+F302+F308+F311</f>
        <v>5391900</v>
      </c>
    </row>
    <row r="313" spans="2:6" x14ac:dyDescent="0.25">
      <c r="B313" s="1"/>
      <c r="C313" s="69"/>
      <c r="D313" s="175"/>
      <c r="E313" s="175"/>
      <c r="F313" s="108"/>
    </row>
    <row r="314" spans="2:6" x14ac:dyDescent="0.25">
      <c r="C314" s="260"/>
      <c r="D314" s="173"/>
      <c r="E314" s="173"/>
      <c r="F314" s="60"/>
    </row>
    <row r="315" spans="2:6" x14ac:dyDescent="0.25">
      <c r="B315" s="152" t="s">
        <v>237</v>
      </c>
      <c r="C315" s="153"/>
      <c r="D315" s="154"/>
      <c r="E315" s="154"/>
      <c r="F315" s="154"/>
    </row>
    <row r="316" spans="2:6" x14ac:dyDescent="0.25">
      <c r="B316" s="14" t="s">
        <v>122</v>
      </c>
      <c r="C316" s="14" t="s">
        <v>473</v>
      </c>
      <c r="D316" s="24">
        <v>1000000</v>
      </c>
      <c r="E316" s="19">
        <v>1400000</v>
      </c>
      <c r="F316" s="23">
        <v>2600000</v>
      </c>
    </row>
    <row r="317" spans="2:6" x14ac:dyDescent="0.25">
      <c r="B317" s="148" t="s">
        <v>238</v>
      </c>
      <c r="C317" s="151"/>
      <c r="D317" s="67">
        <f t="shared" ref="D317" si="49">SUM(D316)</f>
        <v>1000000</v>
      </c>
      <c r="E317" s="28">
        <f>SUM(E316)</f>
        <v>1400000</v>
      </c>
      <c r="F317" s="22">
        <f>SUM(F316:F316)</f>
        <v>2600000</v>
      </c>
    </row>
    <row r="318" spans="2:6" x14ac:dyDescent="0.25">
      <c r="D318" s="173"/>
      <c r="E318" s="173"/>
      <c r="F318" s="60"/>
    </row>
    <row r="319" spans="2:6" x14ac:dyDescent="0.25">
      <c r="C319" s="260"/>
      <c r="D319" s="173"/>
      <c r="E319" s="173"/>
      <c r="F319" s="60"/>
    </row>
    <row r="320" spans="2:6" x14ac:dyDescent="0.25">
      <c r="B320" s="117" t="s">
        <v>44</v>
      </c>
      <c r="C320" s="118"/>
      <c r="D320" s="147"/>
      <c r="E320" s="147"/>
      <c r="F320" s="147"/>
    </row>
    <row r="321" spans="2:6" x14ac:dyDescent="0.25">
      <c r="B321" s="14" t="s">
        <v>133</v>
      </c>
      <c r="C321" s="14" t="s">
        <v>474</v>
      </c>
      <c r="D321" s="23">
        <v>41790600</v>
      </c>
      <c r="E321" s="19">
        <v>40724710</v>
      </c>
      <c r="F321" s="19">
        <v>49887240</v>
      </c>
    </row>
    <row r="322" spans="2:6" x14ac:dyDescent="0.25">
      <c r="B322" s="14" t="s">
        <v>135</v>
      </c>
      <c r="C322" s="14" t="s">
        <v>239</v>
      </c>
      <c r="D322" s="23">
        <v>3516600</v>
      </c>
      <c r="E322" s="19">
        <v>677174</v>
      </c>
      <c r="F322" s="19">
        <v>0</v>
      </c>
    </row>
    <row r="323" spans="2:6" x14ac:dyDescent="0.25">
      <c r="B323" s="14" t="s">
        <v>280</v>
      </c>
      <c r="C323" s="14" t="s">
        <v>496</v>
      </c>
      <c r="D323" s="19">
        <v>0</v>
      </c>
      <c r="E323" s="19">
        <v>0</v>
      </c>
      <c r="F323" s="19">
        <v>1000000</v>
      </c>
    </row>
    <row r="324" spans="2:6" x14ac:dyDescent="0.25">
      <c r="B324" s="14" t="s">
        <v>203</v>
      </c>
      <c r="C324" s="14" t="s">
        <v>204</v>
      </c>
      <c r="D324" s="19">
        <v>200000</v>
      </c>
      <c r="E324" s="19">
        <v>292570</v>
      </c>
      <c r="F324" s="19">
        <v>300752</v>
      </c>
    </row>
    <row r="325" spans="2:6" x14ac:dyDescent="0.25">
      <c r="B325" s="14" t="s">
        <v>179</v>
      </c>
      <c r="C325" s="14" t="s">
        <v>240</v>
      </c>
      <c r="D325" s="19">
        <v>180468</v>
      </c>
      <c r="E325" s="19">
        <v>180468</v>
      </c>
      <c r="F325" s="19">
        <v>180468</v>
      </c>
    </row>
    <row r="326" spans="2:6" x14ac:dyDescent="0.25">
      <c r="B326" s="14" t="s">
        <v>88</v>
      </c>
      <c r="C326" s="14" t="s">
        <v>540</v>
      </c>
      <c r="D326" s="19">
        <v>396000</v>
      </c>
      <c r="E326" s="19">
        <v>497110</v>
      </c>
      <c r="F326" s="19">
        <v>2500000</v>
      </c>
    </row>
    <row r="327" spans="2:6" x14ac:dyDescent="0.25">
      <c r="B327" s="14" t="s">
        <v>89</v>
      </c>
      <c r="C327" s="14" t="s">
        <v>241</v>
      </c>
      <c r="D327" s="19">
        <v>360000</v>
      </c>
      <c r="E327" s="19">
        <v>100000</v>
      </c>
      <c r="F327" s="19">
        <v>400000</v>
      </c>
    </row>
    <row r="328" spans="2:6" x14ac:dyDescent="0.25">
      <c r="B328" s="61" t="s">
        <v>139</v>
      </c>
      <c r="C328" s="61" t="s">
        <v>242</v>
      </c>
      <c r="D328" s="84">
        <f t="shared" ref="D328" si="50">SUM(D321:D327)</f>
        <v>46443668</v>
      </c>
      <c r="E328" s="179">
        <f t="shared" ref="E328" si="51">SUM(E321:E327)</f>
        <v>42472032</v>
      </c>
      <c r="F328" s="179">
        <f>SUM(F321:F327)</f>
        <v>54268460</v>
      </c>
    </row>
    <row r="329" spans="2:6" x14ac:dyDescent="0.25">
      <c r="B329" s="61" t="s">
        <v>141</v>
      </c>
      <c r="C329" s="61" t="s">
        <v>243</v>
      </c>
      <c r="D329" s="82">
        <v>6037677</v>
      </c>
      <c r="E329" s="82">
        <v>5073066</v>
      </c>
      <c r="F329" s="82">
        <f>F328*0.13-F330</f>
        <v>6774899.7999999998</v>
      </c>
    </row>
    <row r="330" spans="2:6" x14ac:dyDescent="0.25">
      <c r="B330" s="61" t="s">
        <v>141</v>
      </c>
      <c r="C330" s="61" t="s">
        <v>497</v>
      </c>
      <c r="D330" s="82"/>
      <c r="E330" s="82"/>
      <c r="F330" s="82">
        <v>280000</v>
      </c>
    </row>
    <row r="331" spans="2:6" x14ac:dyDescent="0.25">
      <c r="B331" s="14" t="s">
        <v>182</v>
      </c>
      <c r="C331" s="14" t="s">
        <v>475</v>
      </c>
      <c r="D331" s="24">
        <v>50000</v>
      </c>
      <c r="E331" s="20">
        <v>0</v>
      </c>
      <c r="F331" s="24">
        <v>120000</v>
      </c>
    </row>
    <row r="332" spans="2:6" x14ac:dyDescent="0.25">
      <c r="B332" s="14" t="s">
        <v>143</v>
      </c>
      <c r="C332" s="14" t="s">
        <v>476</v>
      </c>
      <c r="D332" s="23">
        <v>60000000</v>
      </c>
      <c r="E332" s="19">
        <v>62515995</v>
      </c>
      <c r="F332" s="23">
        <v>62000000</v>
      </c>
    </row>
    <row r="333" spans="2:6" s="265" customFormat="1" x14ac:dyDescent="0.25">
      <c r="B333" s="14" t="s">
        <v>143</v>
      </c>
      <c r="C333" s="14" t="s">
        <v>477</v>
      </c>
      <c r="D333" s="265">
        <v>0</v>
      </c>
      <c r="F333" s="19">
        <v>17347000</v>
      </c>
    </row>
    <row r="334" spans="2:6" x14ac:dyDescent="0.25">
      <c r="B334" s="14" t="s">
        <v>183</v>
      </c>
      <c r="C334" s="14" t="s">
        <v>478</v>
      </c>
      <c r="D334" s="23">
        <v>0</v>
      </c>
      <c r="E334" s="19">
        <v>205132</v>
      </c>
      <c r="F334" s="23">
        <v>0</v>
      </c>
    </row>
    <row r="335" spans="2:6" x14ac:dyDescent="0.25">
      <c r="B335" s="14" t="s">
        <v>144</v>
      </c>
      <c r="C335" s="14" t="s">
        <v>479</v>
      </c>
      <c r="D335" s="33">
        <v>0</v>
      </c>
      <c r="E335" s="19">
        <v>37037</v>
      </c>
      <c r="F335" s="23">
        <v>50000</v>
      </c>
    </row>
    <row r="336" spans="2:6" x14ac:dyDescent="0.25">
      <c r="B336" s="14" t="s">
        <v>175</v>
      </c>
      <c r="C336" s="14" t="s">
        <v>184</v>
      </c>
      <c r="D336" s="93">
        <v>2500000</v>
      </c>
      <c r="E336" s="79">
        <v>2003218</v>
      </c>
      <c r="F336" s="93">
        <v>2000000</v>
      </c>
    </row>
    <row r="337" spans="2:6" x14ac:dyDescent="0.25">
      <c r="B337" s="14" t="s">
        <v>185</v>
      </c>
      <c r="C337" s="38" t="s">
        <v>186</v>
      </c>
      <c r="D337" s="93">
        <v>4000000</v>
      </c>
      <c r="E337" s="79">
        <v>4082588</v>
      </c>
      <c r="F337" s="93">
        <v>4000000</v>
      </c>
    </row>
    <row r="338" spans="2:6" x14ac:dyDescent="0.25">
      <c r="B338" s="14" t="s">
        <v>187</v>
      </c>
      <c r="C338" s="38" t="s">
        <v>188</v>
      </c>
      <c r="D338" s="93">
        <v>1250000</v>
      </c>
      <c r="E338" s="79">
        <v>1252220</v>
      </c>
      <c r="F338" s="93">
        <v>1400000</v>
      </c>
    </row>
    <row r="339" spans="2:6" x14ac:dyDescent="0.25">
      <c r="B339" s="14" t="s">
        <v>189</v>
      </c>
      <c r="C339" s="38" t="s">
        <v>244</v>
      </c>
      <c r="D339" s="93">
        <v>0</v>
      </c>
      <c r="E339" s="79">
        <v>0</v>
      </c>
      <c r="F339" s="93">
        <v>0</v>
      </c>
    </row>
    <row r="340" spans="2:6" x14ac:dyDescent="0.25">
      <c r="B340" s="14" t="s">
        <v>146</v>
      </c>
      <c r="C340" s="38" t="s">
        <v>480</v>
      </c>
      <c r="D340" s="93">
        <v>50000</v>
      </c>
      <c r="E340" s="79">
        <v>22920</v>
      </c>
      <c r="F340" s="93">
        <v>50000</v>
      </c>
    </row>
    <row r="341" spans="2:6" x14ac:dyDescent="0.25">
      <c r="B341" s="14" t="s">
        <v>147</v>
      </c>
      <c r="C341" s="14" t="s">
        <v>284</v>
      </c>
      <c r="D341" s="24">
        <v>500000</v>
      </c>
      <c r="E341" s="20">
        <v>592903</v>
      </c>
      <c r="F341" s="24">
        <v>2000000</v>
      </c>
    </row>
    <row r="342" spans="2:6" x14ac:dyDescent="0.25">
      <c r="B342" s="75" t="s">
        <v>95</v>
      </c>
      <c r="C342" s="75" t="s">
        <v>481</v>
      </c>
      <c r="D342" s="24">
        <v>2000000</v>
      </c>
      <c r="E342" s="20">
        <v>2269594</v>
      </c>
      <c r="F342" s="24">
        <v>2500000</v>
      </c>
    </row>
    <row r="343" spans="2:6" x14ac:dyDescent="0.25">
      <c r="B343" s="75" t="s">
        <v>190</v>
      </c>
      <c r="C343" s="149" t="s">
        <v>191</v>
      </c>
      <c r="D343" s="24">
        <v>50000</v>
      </c>
      <c r="E343" s="20">
        <v>0</v>
      </c>
      <c r="F343" s="24">
        <v>0</v>
      </c>
    </row>
    <row r="344" spans="2:6" x14ac:dyDescent="0.25">
      <c r="B344" s="14" t="s">
        <v>102</v>
      </c>
      <c r="C344" s="38" t="s">
        <v>482</v>
      </c>
      <c r="D344" s="23">
        <v>15206400</v>
      </c>
      <c r="E344" s="19">
        <v>13801</v>
      </c>
      <c r="F344" s="23">
        <v>50000</v>
      </c>
    </row>
    <row r="345" spans="2:6" x14ac:dyDescent="0.25">
      <c r="B345" s="14" t="s">
        <v>96</v>
      </c>
      <c r="C345" s="14" t="s">
        <v>160</v>
      </c>
      <c r="D345" s="33">
        <v>0</v>
      </c>
      <c r="E345" s="19">
        <v>14600506</v>
      </c>
      <c r="F345" s="23">
        <v>24709590</v>
      </c>
    </row>
    <row r="346" spans="2:6" x14ac:dyDescent="0.25">
      <c r="B346" s="61" t="s">
        <v>98</v>
      </c>
      <c r="C346" s="61" t="s">
        <v>226</v>
      </c>
      <c r="D346" s="84">
        <f>SUM(D331:D345)</f>
        <v>85606400</v>
      </c>
      <c r="E346" s="84">
        <f>SUM(E331:E345)</f>
        <v>87595914</v>
      </c>
      <c r="F346" s="84">
        <f>SUM(F331:F345)</f>
        <v>116226590</v>
      </c>
    </row>
    <row r="347" spans="2:6" x14ac:dyDescent="0.25">
      <c r="B347" s="14" t="s">
        <v>195</v>
      </c>
      <c r="C347" s="14" t="s">
        <v>245</v>
      </c>
      <c r="D347" s="23">
        <v>500000</v>
      </c>
      <c r="E347" s="19">
        <v>0</v>
      </c>
      <c r="F347" s="19">
        <v>500000</v>
      </c>
    </row>
    <row r="348" spans="2:6" x14ac:dyDescent="0.25">
      <c r="B348" s="14" t="s">
        <v>150</v>
      </c>
      <c r="C348" s="14" t="s">
        <v>541</v>
      </c>
      <c r="D348" s="23">
        <f>1700000+470000+2300000+210000</f>
        <v>4680000</v>
      </c>
      <c r="E348" s="19">
        <v>6170320</v>
      </c>
      <c r="F348" s="79">
        <v>1588000</v>
      </c>
    </row>
    <row r="349" spans="2:6" x14ac:dyDescent="0.25">
      <c r="B349" s="14" t="s">
        <v>152</v>
      </c>
      <c r="C349" s="14" t="s">
        <v>247</v>
      </c>
      <c r="D349" s="23">
        <v>1398600</v>
      </c>
      <c r="E349" s="19">
        <v>1665986</v>
      </c>
      <c r="F349" s="79">
        <v>563760</v>
      </c>
    </row>
    <row r="350" spans="2:6" x14ac:dyDescent="0.25">
      <c r="B350" s="61" t="s">
        <v>154</v>
      </c>
      <c r="C350" s="61" t="s">
        <v>248</v>
      </c>
      <c r="D350" s="84">
        <f>SUM(D347:D349)</f>
        <v>6578600</v>
      </c>
      <c r="E350" s="179">
        <f t="shared" ref="E350" si="52">SUM(E347:E349)</f>
        <v>7836306</v>
      </c>
      <c r="F350" s="109">
        <f>SUM(F347:F349)</f>
        <v>2651760</v>
      </c>
    </row>
    <row r="351" spans="2:6" x14ac:dyDescent="0.25">
      <c r="B351" s="14" t="s">
        <v>166</v>
      </c>
      <c r="C351" s="14" t="s">
        <v>249</v>
      </c>
      <c r="D351" s="23">
        <v>500000</v>
      </c>
      <c r="E351" s="19">
        <v>0</v>
      </c>
      <c r="F351" s="93">
        <v>0</v>
      </c>
    </row>
    <row r="352" spans="2:6" x14ac:dyDescent="0.25">
      <c r="B352" s="14" t="s">
        <v>167</v>
      </c>
      <c r="C352" s="14" t="s">
        <v>250</v>
      </c>
      <c r="D352" s="23">
        <v>135000</v>
      </c>
      <c r="E352" s="19">
        <v>0</v>
      </c>
      <c r="F352" s="93">
        <v>0</v>
      </c>
    </row>
    <row r="353" spans="2:6" x14ac:dyDescent="0.25">
      <c r="B353" s="61" t="s">
        <v>169</v>
      </c>
      <c r="C353" s="61" t="s">
        <v>251</v>
      </c>
      <c r="D353" s="96">
        <f>SUM(D351:D352)</f>
        <v>635000</v>
      </c>
      <c r="E353" s="176">
        <f t="shared" ref="E353" si="53">SUM(E351:E352)</f>
        <v>0</v>
      </c>
      <c r="F353" s="98">
        <f t="shared" ref="F353" si="54">SUM(F351:F352)</f>
        <v>0</v>
      </c>
    </row>
    <row r="354" spans="2:6" x14ac:dyDescent="0.25">
      <c r="B354" s="148" t="s">
        <v>100</v>
      </c>
      <c r="C354" s="151"/>
      <c r="D354" s="249">
        <f>D328+D329+D346+D350+D353</f>
        <v>145301345</v>
      </c>
      <c r="E354" s="28">
        <f>E328+E329+E346+E350+E353</f>
        <v>142977318</v>
      </c>
      <c r="F354" s="28">
        <f>F328+F329+F346+F350+F353+F330</f>
        <v>180201709.80000001</v>
      </c>
    </row>
    <row r="355" spans="2:6" x14ac:dyDescent="0.25">
      <c r="C355" s="269"/>
      <c r="D355" s="173"/>
      <c r="E355" s="173"/>
      <c r="F355" s="60"/>
    </row>
    <row r="356" spans="2:6" x14ac:dyDescent="0.25">
      <c r="C356" s="260"/>
      <c r="D356" s="173"/>
      <c r="E356" s="173"/>
      <c r="F356" s="60"/>
    </row>
    <row r="357" spans="2:6" x14ac:dyDescent="0.25">
      <c r="B357" s="117" t="s">
        <v>48</v>
      </c>
      <c r="C357" s="118"/>
      <c r="D357" s="147"/>
      <c r="E357" s="147"/>
      <c r="F357" s="147"/>
    </row>
    <row r="358" spans="2:6" x14ac:dyDescent="0.25">
      <c r="B358" s="14" t="s">
        <v>133</v>
      </c>
      <c r="C358" s="38" t="s">
        <v>483</v>
      </c>
      <c r="D358" s="79">
        <v>0</v>
      </c>
      <c r="E358" s="79">
        <v>0</v>
      </c>
      <c r="F358" s="23">
        <v>3610080</v>
      </c>
    </row>
    <row r="359" spans="2:6" x14ac:dyDescent="0.25">
      <c r="B359" s="14" t="s">
        <v>135</v>
      </c>
      <c r="C359" s="38" t="s">
        <v>239</v>
      </c>
      <c r="D359" s="19">
        <v>0</v>
      </c>
      <c r="E359" s="19"/>
      <c r="F359" s="23">
        <v>0</v>
      </c>
    </row>
    <row r="360" spans="2:6" x14ac:dyDescent="0.25">
      <c r="B360" s="14" t="s">
        <v>137</v>
      </c>
      <c r="C360" s="38" t="s">
        <v>410</v>
      </c>
      <c r="D360" s="19">
        <v>0</v>
      </c>
      <c r="E360" s="19">
        <v>96110</v>
      </c>
      <c r="F360" s="23">
        <v>750000</v>
      </c>
    </row>
    <row r="361" spans="2:6" x14ac:dyDescent="0.25">
      <c r="B361" s="14" t="s">
        <v>89</v>
      </c>
      <c r="C361" s="38" t="s">
        <v>542</v>
      </c>
      <c r="D361" s="19">
        <v>240000</v>
      </c>
      <c r="E361" s="19">
        <v>240000</v>
      </c>
      <c r="F361" s="23">
        <v>240000</v>
      </c>
    </row>
    <row r="362" spans="2:6" x14ac:dyDescent="0.25">
      <c r="B362" s="61" t="s">
        <v>139</v>
      </c>
      <c r="C362" s="117" t="s">
        <v>252</v>
      </c>
      <c r="D362" s="64">
        <f>SUM(D359:D361)</f>
        <v>240000</v>
      </c>
      <c r="E362" s="64">
        <f>SUM(E359:E361)</f>
        <v>336110</v>
      </c>
      <c r="F362" s="85">
        <f>SUM(F358:F361)</f>
        <v>4600080</v>
      </c>
    </row>
    <row r="363" spans="2:6" x14ac:dyDescent="0.25">
      <c r="B363" s="61" t="s">
        <v>141</v>
      </c>
      <c r="C363" s="61" t="s">
        <v>142</v>
      </c>
      <c r="D363" s="80">
        <v>31200</v>
      </c>
      <c r="E363" s="80">
        <v>38233</v>
      </c>
      <c r="F363" s="80">
        <f>F362*0.13</f>
        <v>598010.4</v>
      </c>
    </row>
    <row r="364" spans="2:6" x14ac:dyDescent="0.25">
      <c r="B364" s="14" t="s">
        <v>143</v>
      </c>
      <c r="C364" s="14" t="s">
        <v>484</v>
      </c>
      <c r="D364" s="24">
        <v>50000</v>
      </c>
      <c r="E364" s="20">
        <v>78053</v>
      </c>
      <c r="F364" s="24">
        <v>250000</v>
      </c>
    </row>
    <row r="365" spans="2:6" x14ac:dyDescent="0.25">
      <c r="B365" s="14" t="s">
        <v>144</v>
      </c>
      <c r="C365" s="14" t="s">
        <v>485</v>
      </c>
      <c r="D365" s="24">
        <v>200000</v>
      </c>
      <c r="E365" s="20">
        <v>198523</v>
      </c>
      <c r="F365" s="24">
        <v>200000</v>
      </c>
    </row>
    <row r="366" spans="2:6" x14ac:dyDescent="0.25">
      <c r="B366" s="14" t="s">
        <v>175</v>
      </c>
      <c r="C366" s="14" t="s">
        <v>184</v>
      </c>
      <c r="D366" s="93">
        <v>400000</v>
      </c>
      <c r="E366" s="79">
        <v>346789</v>
      </c>
      <c r="F366" s="93">
        <v>500000</v>
      </c>
    </row>
    <row r="367" spans="2:6" x14ac:dyDescent="0.25">
      <c r="B367" s="14" t="s">
        <v>185</v>
      </c>
      <c r="C367" s="38" t="s">
        <v>186</v>
      </c>
      <c r="D367" s="93">
        <v>400000</v>
      </c>
      <c r="E367" s="79">
        <v>375058</v>
      </c>
      <c r="F367" s="93">
        <v>500000</v>
      </c>
    </row>
    <row r="368" spans="2:6" x14ac:dyDescent="0.25">
      <c r="B368" s="14" t="s">
        <v>187</v>
      </c>
      <c r="C368" s="38" t="s">
        <v>188</v>
      </c>
      <c r="D368" s="93">
        <v>200000</v>
      </c>
      <c r="E368" s="79">
        <v>181817</v>
      </c>
      <c r="F368" s="93">
        <v>200000</v>
      </c>
    </row>
    <row r="369" spans="2:7" x14ac:dyDescent="0.25">
      <c r="B369" s="14" t="s">
        <v>147</v>
      </c>
      <c r="C369" s="38" t="s">
        <v>253</v>
      </c>
      <c r="D369" s="24">
        <v>50000</v>
      </c>
      <c r="E369" s="20">
        <v>0</v>
      </c>
      <c r="F369" s="24">
        <v>300000</v>
      </c>
    </row>
    <row r="370" spans="2:7" x14ac:dyDescent="0.25">
      <c r="B370" s="14" t="s">
        <v>96</v>
      </c>
      <c r="C370" s="14" t="s">
        <v>160</v>
      </c>
      <c r="D370" s="93">
        <v>280800</v>
      </c>
      <c r="E370" s="79">
        <v>301131</v>
      </c>
      <c r="F370" s="93">
        <v>526500</v>
      </c>
    </row>
    <row r="371" spans="2:7" x14ac:dyDescent="0.25">
      <c r="B371" s="61" t="s">
        <v>98</v>
      </c>
      <c r="C371" s="117" t="s">
        <v>232</v>
      </c>
      <c r="D371" s="64">
        <f t="shared" ref="D371" si="55">SUM(D364:D370)</f>
        <v>1580800</v>
      </c>
      <c r="E371" s="64">
        <f t="shared" ref="E371" si="56">SUM(E364:E370)</f>
        <v>1481371</v>
      </c>
      <c r="F371" s="85">
        <f>SUM(F364:F370)</f>
        <v>2476500</v>
      </c>
    </row>
    <row r="372" spans="2:7" x14ac:dyDescent="0.25">
      <c r="B372" s="14" t="s">
        <v>150</v>
      </c>
      <c r="C372" s="14" t="s">
        <v>541</v>
      </c>
      <c r="D372" s="250">
        <v>0</v>
      </c>
      <c r="E372" s="180">
        <v>87779</v>
      </c>
      <c r="F372" s="110">
        <v>150000</v>
      </c>
    </row>
    <row r="373" spans="2:7" x14ac:dyDescent="0.25">
      <c r="B373" s="14" t="s">
        <v>152</v>
      </c>
      <c r="C373" s="14" t="s">
        <v>247</v>
      </c>
      <c r="D373" s="250">
        <v>0</v>
      </c>
      <c r="E373" s="180">
        <v>23701</v>
      </c>
      <c r="F373" s="110">
        <v>40500</v>
      </c>
    </row>
    <row r="374" spans="2:7" x14ac:dyDescent="0.25">
      <c r="B374" s="61" t="s">
        <v>154</v>
      </c>
      <c r="C374" s="61" t="s">
        <v>248</v>
      </c>
      <c r="D374" s="251">
        <f>SUM(D372:D373)</f>
        <v>0</v>
      </c>
      <c r="E374" s="220">
        <f>SUM(E372:E373)</f>
        <v>111480</v>
      </c>
      <c r="F374" s="111">
        <f t="shared" ref="F374" si="57">SUM(F372:F373)</f>
        <v>190500</v>
      </c>
    </row>
    <row r="375" spans="2:7" x14ac:dyDescent="0.25">
      <c r="B375" s="148" t="s">
        <v>156</v>
      </c>
      <c r="C375" s="148"/>
      <c r="D375" s="67">
        <f>D362+D363+D371+D374</f>
        <v>1852000</v>
      </c>
      <c r="E375" s="67">
        <f>E362+E363+E371+E374</f>
        <v>1967194</v>
      </c>
      <c r="F375" s="67">
        <f>F362+F363+F371+F374</f>
        <v>7865090.4000000004</v>
      </c>
    </row>
    <row r="376" spans="2:7" x14ac:dyDescent="0.25">
      <c r="B376" s="69"/>
      <c r="C376" s="69"/>
      <c r="D376" s="175"/>
      <c r="E376" s="175"/>
      <c r="F376" s="108"/>
    </row>
    <row r="377" spans="2:7" x14ac:dyDescent="0.25">
      <c r="B377" s="70"/>
      <c r="C377" s="70"/>
      <c r="D377" s="175"/>
      <c r="E377" s="175"/>
      <c r="F377" s="108"/>
    </row>
    <row r="378" spans="2:7" x14ac:dyDescent="0.25">
      <c r="B378" s="61" t="s">
        <v>254</v>
      </c>
      <c r="C378" s="61"/>
      <c r="D378" s="61"/>
      <c r="E378" s="61"/>
      <c r="F378" s="61"/>
    </row>
    <row r="379" spans="2:7" x14ac:dyDescent="0.25">
      <c r="B379" s="15" t="s">
        <v>189</v>
      </c>
      <c r="C379" s="14" t="s">
        <v>244</v>
      </c>
      <c r="D379" s="106">
        <v>100000</v>
      </c>
      <c r="E379" s="106">
        <v>66284</v>
      </c>
      <c r="F379" s="209">
        <v>100000</v>
      </c>
    </row>
    <row r="380" spans="2:7" x14ac:dyDescent="0.25">
      <c r="B380" s="15" t="s">
        <v>96</v>
      </c>
      <c r="C380" s="14" t="s">
        <v>97</v>
      </c>
      <c r="D380" s="106">
        <v>27000</v>
      </c>
      <c r="E380" s="106">
        <v>17896</v>
      </c>
      <c r="F380" s="106">
        <v>27000</v>
      </c>
    </row>
    <row r="381" spans="2:7" x14ac:dyDescent="0.25">
      <c r="B381" s="15" t="s">
        <v>98</v>
      </c>
      <c r="C381" s="14" t="s">
        <v>232</v>
      </c>
      <c r="D381" s="112">
        <f>SUM(D379:D380)</f>
        <v>127000</v>
      </c>
      <c r="E381" s="112">
        <f>SUM(E379:E380)</f>
        <v>84180</v>
      </c>
      <c r="F381" s="112">
        <f>SUM(F379:F380)</f>
        <v>127000</v>
      </c>
    </row>
    <row r="382" spans="2:7" ht="17.25" customHeight="1" x14ac:dyDescent="0.25">
      <c r="B382" s="14" t="s">
        <v>255</v>
      </c>
      <c r="C382" s="14" t="s">
        <v>382</v>
      </c>
      <c r="D382" s="252">
        <v>200000</v>
      </c>
      <c r="E382" s="19">
        <v>0</v>
      </c>
      <c r="F382" s="23">
        <v>200000</v>
      </c>
    </row>
    <row r="383" spans="2:7" ht="17.25" customHeight="1" x14ac:dyDescent="0.25">
      <c r="B383" s="61" t="s">
        <v>256</v>
      </c>
      <c r="C383" s="117" t="s">
        <v>257</v>
      </c>
      <c r="D383" s="113">
        <f>SUM(D382)</f>
        <v>200000</v>
      </c>
      <c r="E383" s="113">
        <v>0</v>
      </c>
      <c r="F383" s="113">
        <v>200000</v>
      </c>
    </row>
    <row r="384" spans="2:7" x14ac:dyDescent="0.25">
      <c r="B384" s="148" t="s">
        <v>100</v>
      </c>
      <c r="C384" s="148"/>
      <c r="D384" s="67">
        <f>D381+D383</f>
        <v>327000</v>
      </c>
      <c r="E384" s="67">
        <f t="shared" ref="E384:F384" si="58">E381+E383</f>
        <v>84180</v>
      </c>
      <c r="F384" s="67">
        <f t="shared" si="58"/>
        <v>327000</v>
      </c>
      <c r="G384" s="268"/>
    </row>
    <row r="385" spans="2:6" x14ac:dyDescent="0.25">
      <c r="B385" s="69"/>
      <c r="C385" s="69"/>
      <c r="D385" s="175"/>
      <c r="E385" s="175"/>
      <c r="F385" s="108"/>
    </row>
    <row r="386" spans="2:6" x14ac:dyDescent="0.25">
      <c r="B386" s="1"/>
      <c r="C386" s="1"/>
      <c r="D386" s="175"/>
      <c r="E386" s="175"/>
      <c r="F386" s="108"/>
    </row>
    <row r="387" spans="2:6" x14ac:dyDescent="0.25">
      <c r="B387" s="61" t="s">
        <v>258</v>
      </c>
      <c r="C387" s="61"/>
      <c r="D387" s="61"/>
      <c r="E387" s="61"/>
      <c r="F387" s="61"/>
    </row>
    <row r="388" spans="2:6" x14ac:dyDescent="0.25">
      <c r="B388" s="14" t="s">
        <v>143</v>
      </c>
      <c r="C388" s="14" t="s">
        <v>486</v>
      </c>
      <c r="D388" s="114">
        <v>1700000</v>
      </c>
      <c r="E388" s="115">
        <v>1633000</v>
      </c>
      <c r="F388" s="115">
        <v>1650000</v>
      </c>
    </row>
    <row r="389" spans="2:6" x14ac:dyDescent="0.25">
      <c r="B389" s="14"/>
      <c r="C389" s="14" t="s">
        <v>419</v>
      </c>
      <c r="D389" s="114"/>
      <c r="E389" s="115"/>
      <c r="F389" s="115">
        <v>500000</v>
      </c>
    </row>
    <row r="390" spans="2:6" x14ac:dyDescent="0.25">
      <c r="B390" s="14" t="s">
        <v>95</v>
      </c>
      <c r="C390" s="14" t="s">
        <v>487</v>
      </c>
      <c r="D390" s="114">
        <v>400000</v>
      </c>
      <c r="E390" s="114">
        <v>326600</v>
      </c>
      <c r="F390" s="114">
        <v>1000000</v>
      </c>
    </row>
    <row r="391" spans="2:6" x14ac:dyDescent="0.25">
      <c r="B391" s="14"/>
      <c r="C391" s="14" t="s">
        <v>420</v>
      </c>
      <c r="D391" s="114"/>
      <c r="E391" s="114"/>
      <c r="F391" s="114">
        <v>200000</v>
      </c>
    </row>
    <row r="392" spans="2:6" x14ac:dyDescent="0.25">
      <c r="B392" s="14" t="s">
        <v>96</v>
      </c>
      <c r="C392" s="14" t="s">
        <v>97</v>
      </c>
      <c r="D392" s="114">
        <v>567000</v>
      </c>
      <c r="E392" s="114">
        <v>529092</v>
      </c>
      <c r="F392" s="114">
        <v>904500</v>
      </c>
    </row>
    <row r="393" spans="2:6" x14ac:dyDescent="0.25">
      <c r="B393" s="61" t="s">
        <v>98</v>
      </c>
      <c r="C393" s="61" t="s">
        <v>99</v>
      </c>
      <c r="D393" s="64">
        <f>SUM(D388:D392)</f>
        <v>2667000</v>
      </c>
      <c r="E393" s="101">
        <f t="shared" ref="E393" si="59">SUM(E388:E392)</f>
        <v>2488692</v>
      </c>
      <c r="F393" s="101">
        <f t="shared" ref="F393" si="60">SUM(F388:F392)</f>
        <v>4254500</v>
      </c>
    </row>
    <row r="394" spans="2:6" x14ac:dyDescent="0.25">
      <c r="B394" s="148" t="s">
        <v>156</v>
      </c>
      <c r="C394" s="148"/>
      <c r="D394" s="67">
        <f>SUM(D393)</f>
        <v>2667000</v>
      </c>
      <c r="E394" s="28">
        <f>E393</f>
        <v>2488692</v>
      </c>
      <c r="F394" s="28">
        <f>SUM(F393:F393)</f>
        <v>4254500</v>
      </c>
    </row>
    <row r="395" spans="2:6" x14ac:dyDescent="0.25">
      <c r="B395" s="1"/>
      <c r="C395" s="69"/>
      <c r="D395" s="173"/>
      <c r="E395" s="173"/>
      <c r="F395" s="60"/>
    </row>
    <row r="396" spans="2:6" x14ac:dyDescent="0.25">
      <c r="B396" s="1"/>
      <c r="C396" s="1"/>
      <c r="D396" s="173"/>
      <c r="E396" s="173"/>
      <c r="F396" s="60"/>
    </row>
    <row r="397" spans="2:6" x14ac:dyDescent="0.25">
      <c r="B397" s="61" t="s">
        <v>259</v>
      </c>
      <c r="C397" s="61"/>
      <c r="D397" s="61"/>
      <c r="E397" s="61"/>
      <c r="F397" s="61"/>
    </row>
    <row r="398" spans="2:6" x14ac:dyDescent="0.25">
      <c r="B398" s="15" t="s">
        <v>95</v>
      </c>
      <c r="C398" s="14" t="s">
        <v>224</v>
      </c>
      <c r="D398" s="116">
        <v>500000</v>
      </c>
      <c r="E398" s="116">
        <v>0</v>
      </c>
      <c r="F398" s="116">
        <v>100000</v>
      </c>
    </row>
    <row r="399" spans="2:6" x14ac:dyDescent="0.25">
      <c r="B399" s="15" t="s">
        <v>96</v>
      </c>
      <c r="C399" s="14" t="s">
        <v>97</v>
      </c>
      <c r="D399" s="116">
        <v>135000</v>
      </c>
      <c r="E399" s="116">
        <v>0</v>
      </c>
      <c r="F399" s="116">
        <v>27000</v>
      </c>
    </row>
    <row r="400" spans="2:6" x14ac:dyDescent="0.25">
      <c r="B400" s="14" t="s">
        <v>255</v>
      </c>
      <c r="C400" s="14" t="s">
        <v>488</v>
      </c>
      <c r="D400" s="24">
        <v>6500000</v>
      </c>
      <c r="E400" s="19">
        <v>26142847</v>
      </c>
      <c r="F400" s="19">
        <v>9000000</v>
      </c>
    </row>
    <row r="401" spans="2:8" x14ac:dyDescent="0.25">
      <c r="B401" s="14" t="s">
        <v>255</v>
      </c>
      <c r="C401" s="14" t="s">
        <v>421</v>
      </c>
      <c r="D401" s="19"/>
      <c r="E401" s="19"/>
      <c r="F401" s="19">
        <v>900000</v>
      </c>
    </row>
    <row r="402" spans="2:8" x14ac:dyDescent="0.25">
      <c r="B402" s="14" t="s">
        <v>110</v>
      </c>
      <c r="C402" s="15" t="s">
        <v>260</v>
      </c>
      <c r="D402" s="20">
        <v>500000</v>
      </c>
      <c r="E402" s="20">
        <v>0</v>
      </c>
      <c r="F402" s="23">
        <v>500000</v>
      </c>
    </row>
    <row r="403" spans="2:8" x14ac:dyDescent="0.25">
      <c r="B403" s="14" t="s">
        <v>122</v>
      </c>
      <c r="C403" s="14" t="s">
        <v>383</v>
      </c>
      <c r="D403" s="115">
        <v>5000000</v>
      </c>
      <c r="E403" s="115">
        <v>1000000</v>
      </c>
      <c r="F403" s="115">
        <v>5000000</v>
      </c>
    </row>
    <row r="404" spans="2:8" x14ac:dyDescent="0.25">
      <c r="B404" s="14" t="s">
        <v>122</v>
      </c>
      <c r="C404" s="311" t="s">
        <v>489</v>
      </c>
      <c r="D404" s="311"/>
      <c r="E404" s="115"/>
      <c r="F404" s="115">
        <v>1500000</v>
      </c>
    </row>
    <row r="405" spans="2:8" x14ac:dyDescent="0.25">
      <c r="B405" s="148" t="s">
        <v>100</v>
      </c>
      <c r="C405" s="148"/>
      <c r="D405" s="67">
        <f>SUM(D398:D403)</f>
        <v>12635000</v>
      </c>
      <c r="E405" s="67">
        <f>SUM(E398:E404)</f>
        <v>27142847</v>
      </c>
      <c r="F405" s="67">
        <f>SUM(F398:F404)</f>
        <v>17027000</v>
      </c>
    </row>
    <row r="406" spans="2:8" x14ac:dyDescent="0.25">
      <c r="B406" s="1"/>
      <c r="C406" s="1"/>
      <c r="D406" s="173"/>
      <c r="E406" s="173"/>
      <c r="F406" s="60"/>
    </row>
    <row r="407" spans="2:8" x14ac:dyDescent="0.25">
      <c r="B407" s="35"/>
      <c r="C407" s="146"/>
      <c r="D407" s="173"/>
      <c r="E407" s="173"/>
      <c r="F407" s="60"/>
    </row>
    <row r="408" spans="2:8" x14ac:dyDescent="0.25">
      <c r="B408" s="61" t="s">
        <v>261</v>
      </c>
      <c r="C408" s="61"/>
      <c r="D408" s="61"/>
      <c r="E408" s="61"/>
      <c r="F408" s="61"/>
      <c r="H408" s="262"/>
    </row>
    <row r="409" spans="2:8" x14ac:dyDescent="0.25">
      <c r="B409" s="15" t="s">
        <v>95</v>
      </c>
      <c r="C409" s="14" t="s">
        <v>262</v>
      </c>
      <c r="D409" s="24">
        <v>6000000</v>
      </c>
      <c r="E409" s="20">
        <v>8386899</v>
      </c>
      <c r="F409" s="23">
        <v>8500000</v>
      </c>
      <c r="H409" s="262"/>
    </row>
    <row r="410" spans="2:8" x14ac:dyDescent="0.25">
      <c r="B410" s="15" t="s">
        <v>96</v>
      </c>
      <c r="C410" s="14" t="s">
        <v>97</v>
      </c>
      <c r="D410" s="24">
        <v>0</v>
      </c>
      <c r="E410" s="20">
        <v>2443819</v>
      </c>
      <c r="F410" s="23">
        <f>F409*0.27</f>
        <v>2295000</v>
      </c>
      <c r="H410" s="262"/>
    </row>
    <row r="411" spans="2:8" x14ac:dyDescent="0.25">
      <c r="B411" s="14" t="s">
        <v>263</v>
      </c>
      <c r="C411" s="14" t="s">
        <v>264</v>
      </c>
      <c r="D411" s="19">
        <f>9554000+4253000+8190000</f>
        <v>21997000</v>
      </c>
      <c r="E411" s="19">
        <v>22825595</v>
      </c>
      <c r="F411" s="19">
        <v>17600000</v>
      </c>
      <c r="H411" s="262"/>
    </row>
    <row r="412" spans="2:8" x14ac:dyDescent="0.25">
      <c r="B412" s="61" t="s">
        <v>225</v>
      </c>
      <c r="C412" s="61" t="s">
        <v>232</v>
      </c>
      <c r="D412" s="96">
        <f t="shared" ref="D412" si="61">SUM(D409:D411)</f>
        <v>27997000</v>
      </c>
      <c r="E412" s="96">
        <f t="shared" ref="E412" si="62">SUM(E409:E411)</f>
        <v>33656313</v>
      </c>
      <c r="F412" s="135">
        <f>SUM(F409:F411)</f>
        <v>28395000</v>
      </c>
      <c r="G412" s="262"/>
      <c r="H412" s="262"/>
    </row>
    <row r="413" spans="2:8" x14ac:dyDescent="0.25">
      <c r="B413" s="14" t="s">
        <v>265</v>
      </c>
      <c r="C413" s="14" t="s">
        <v>266</v>
      </c>
      <c r="D413" s="37">
        <v>15000000</v>
      </c>
      <c r="E413" s="114">
        <v>15000000</v>
      </c>
      <c r="F413" s="19">
        <v>15000000</v>
      </c>
      <c r="H413" s="262"/>
    </row>
    <row r="414" spans="2:8" x14ac:dyDescent="0.25">
      <c r="B414" s="14" t="s">
        <v>265</v>
      </c>
      <c r="C414" s="14" t="s">
        <v>267</v>
      </c>
      <c r="D414" s="37">
        <v>5807658</v>
      </c>
      <c r="E414" s="114">
        <v>5870660</v>
      </c>
      <c r="F414" s="19">
        <v>5870660</v>
      </c>
    </row>
    <row r="415" spans="2:8" x14ac:dyDescent="0.25">
      <c r="B415" s="14"/>
      <c r="C415" s="14" t="s">
        <v>409</v>
      </c>
      <c r="F415" s="19"/>
    </row>
    <row r="416" spans="2:8" x14ac:dyDescent="0.25">
      <c r="B416" s="14" t="s">
        <v>265</v>
      </c>
      <c r="C416" s="14" t="s">
        <v>268</v>
      </c>
      <c r="D416" s="37">
        <v>13080500</v>
      </c>
      <c r="E416" s="114">
        <v>13080500</v>
      </c>
      <c r="F416" s="19">
        <v>11829340</v>
      </c>
    </row>
    <row r="417" spans="2:7" x14ac:dyDescent="0.25">
      <c r="B417" s="14" t="s">
        <v>269</v>
      </c>
      <c r="C417" s="14" t="s">
        <v>270</v>
      </c>
      <c r="D417" s="24">
        <v>160000000</v>
      </c>
      <c r="E417" s="20">
        <v>4796440</v>
      </c>
      <c r="F417" s="23">
        <v>165000000</v>
      </c>
    </row>
    <row r="418" spans="2:7" x14ac:dyDescent="0.25">
      <c r="B418" s="14" t="s">
        <v>271</v>
      </c>
      <c r="C418" s="14" t="s">
        <v>272</v>
      </c>
      <c r="D418" s="33">
        <v>0</v>
      </c>
      <c r="E418" s="19">
        <v>100000000</v>
      </c>
      <c r="F418" s="93">
        <v>0</v>
      </c>
    </row>
    <row r="419" spans="2:7" x14ac:dyDescent="0.25">
      <c r="B419" s="14" t="s">
        <v>273</v>
      </c>
      <c r="C419" s="14" t="s">
        <v>274</v>
      </c>
      <c r="D419" s="265">
        <v>0</v>
      </c>
      <c r="E419" s="19">
        <v>2299793</v>
      </c>
      <c r="F419" s="93">
        <v>2498616</v>
      </c>
    </row>
    <row r="420" spans="2:7" x14ac:dyDescent="0.25">
      <c r="B420" s="61" t="s">
        <v>275</v>
      </c>
      <c r="C420" s="61" t="s">
        <v>276</v>
      </c>
      <c r="D420" s="84">
        <f>SUM(D413:D419)</f>
        <v>193888158</v>
      </c>
      <c r="E420" s="84">
        <f>SUM(E413:E419)</f>
        <v>141047393</v>
      </c>
      <c r="F420" s="212">
        <f>SUM(F413:F419)</f>
        <v>200198616</v>
      </c>
    </row>
    <row r="421" spans="2:7" x14ac:dyDescent="0.25">
      <c r="B421" s="148" t="s">
        <v>156</v>
      </c>
      <c r="C421" s="148"/>
      <c r="D421" s="67">
        <f>D412+D420</f>
        <v>221885158</v>
      </c>
      <c r="E421" s="67">
        <f>E412+E420</f>
        <v>174703706</v>
      </c>
      <c r="F421" s="67">
        <f>F412+F420</f>
        <v>228593616</v>
      </c>
    </row>
    <row r="422" spans="2:7" x14ac:dyDescent="0.25">
      <c r="B422" s="69"/>
      <c r="C422" s="157"/>
      <c r="D422" s="173"/>
      <c r="E422" s="173"/>
      <c r="F422" s="60"/>
    </row>
    <row r="423" spans="2:7" x14ac:dyDescent="0.25">
      <c r="B423" s="117"/>
      <c r="C423" s="118"/>
      <c r="D423" s="119"/>
      <c r="E423" s="119"/>
      <c r="F423" s="119"/>
    </row>
    <row r="424" spans="2:7" x14ac:dyDescent="0.25">
      <c r="B424" s="42" t="s">
        <v>277</v>
      </c>
      <c r="C424" s="120"/>
      <c r="D424" s="55">
        <f>D421+D405+D394+D384+D375+D354+D317+D312+D296+D291+D281+D261+D250+D227+D193+D154+D147+D113+D106+D83+D37+D31+D24</f>
        <v>2429470571.6999998</v>
      </c>
      <c r="E424" s="55">
        <f>E421+E405+E394+E384+E375+E354+E317+E312+E296+E291+E281+E261+E250+E227+E193+E154+E147+E113+E106+E83+E37+E31+E24</f>
        <v>2613496440</v>
      </c>
      <c r="F424" s="55">
        <f>F421+F405+F394+F384+F375+F354+F317+F312+F296+F291+F281+F261+F250+F227+F193+F154+F147+F113+F106+F83+F37+F31+F24</f>
        <v>2416874612.3099995</v>
      </c>
    </row>
    <row r="425" spans="2:7" x14ac:dyDescent="0.25">
      <c r="B425" s="35"/>
      <c r="C425" s="157"/>
      <c r="D425" s="173"/>
      <c r="E425" s="173"/>
      <c r="F425" s="60"/>
    </row>
    <row r="426" spans="2:7" x14ac:dyDescent="0.25">
      <c r="B426" s="1"/>
      <c r="C426" s="1"/>
      <c r="D426" s="173"/>
      <c r="E426" s="173"/>
      <c r="F426" s="60"/>
    </row>
    <row r="427" spans="2:7" x14ac:dyDescent="0.25">
      <c r="B427" s="1"/>
      <c r="C427" s="1"/>
      <c r="D427" s="173"/>
      <c r="E427" s="173"/>
      <c r="F427" s="60"/>
    </row>
    <row r="428" spans="2:7" x14ac:dyDescent="0.25">
      <c r="B428" s="270" t="s">
        <v>278</v>
      </c>
      <c r="C428" s="261"/>
      <c r="D428" s="261"/>
      <c r="E428" s="261"/>
      <c r="F428" s="261"/>
    </row>
    <row r="429" spans="2:7" ht="16.5" customHeight="1" x14ac:dyDescent="0.25">
      <c r="B429" s="271"/>
      <c r="C429" s="5"/>
      <c r="D429" s="173"/>
      <c r="E429" s="173"/>
      <c r="F429" s="60"/>
    </row>
    <row r="430" spans="2:7" x14ac:dyDescent="0.25">
      <c r="B430" s="272"/>
      <c r="C430" s="1"/>
      <c r="D430" s="121"/>
      <c r="E430" s="121"/>
      <c r="F430" s="121"/>
    </row>
    <row r="431" spans="2:7" x14ac:dyDescent="0.25">
      <c r="B431" s="117" t="s">
        <v>68</v>
      </c>
      <c r="C431" s="118"/>
      <c r="D431" s="147"/>
      <c r="E431" s="147"/>
      <c r="F431" s="147"/>
    </row>
    <row r="432" spans="2:7" x14ac:dyDescent="0.25">
      <c r="B432" s="14" t="s">
        <v>133</v>
      </c>
      <c r="C432" s="14" t="s">
        <v>551</v>
      </c>
      <c r="D432" s="23">
        <v>155025000</v>
      </c>
      <c r="E432" s="19">
        <v>158530042</v>
      </c>
      <c r="F432" s="23">
        <v>206850000</v>
      </c>
      <c r="G432" s="54"/>
    </row>
    <row r="433" spans="2:7" x14ac:dyDescent="0.25">
      <c r="B433" s="14" t="s">
        <v>135</v>
      </c>
      <c r="C433" s="14" t="s">
        <v>490</v>
      </c>
      <c r="D433" s="19">
        <v>5999008</v>
      </c>
      <c r="E433" s="19">
        <v>5255835</v>
      </c>
      <c r="F433" s="191">
        <v>0</v>
      </c>
      <c r="G433" s="54"/>
    </row>
    <row r="434" spans="2:7" x14ac:dyDescent="0.25">
      <c r="B434" s="14" t="s">
        <v>279</v>
      </c>
      <c r="C434" s="14" t="s">
        <v>543</v>
      </c>
      <c r="D434" s="19">
        <v>0</v>
      </c>
      <c r="E434" s="19">
        <v>4340000</v>
      </c>
      <c r="F434" s="19">
        <v>7647500</v>
      </c>
      <c r="G434" s="54"/>
    </row>
    <row r="435" spans="2:7" x14ac:dyDescent="0.25">
      <c r="B435" s="14" t="s">
        <v>280</v>
      </c>
      <c r="C435" s="14" t="s">
        <v>491</v>
      </c>
      <c r="D435" s="19">
        <v>7000000</v>
      </c>
      <c r="E435" s="19">
        <v>7990000</v>
      </c>
      <c r="F435" s="19">
        <v>9880000</v>
      </c>
      <c r="G435" s="54"/>
    </row>
    <row r="436" spans="2:7" s="265" customFormat="1" x14ac:dyDescent="0.25">
      <c r="B436" s="14" t="s">
        <v>280</v>
      </c>
      <c r="C436" s="14" t="s">
        <v>496</v>
      </c>
      <c r="D436" s="19">
        <v>0</v>
      </c>
      <c r="E436" s="19">
        <v>0</v>
      </c>
      <c r="F436" s="19">
        <v>5000000</v>
      </c>
      <c r="G436" s="124"/>
    </row>
    <row r="437" spans="2:7" x14ac:dyDescent="0.25">
      <c r="B437" s="14" t="s">
        <v>203</v>
      </c>
      <c r="C437" s="14" t="s">
        <v>204</v>
      </c>
      <c r="D437" s="19">
        <v>5969000</v>
      </c>
      <c r="E437" s="19">
        <v>5969000</v>
      </c>
      <c r="F437" s="19">
        <v>6261000</v>
      </c>
      <c r="G437" s="54"/>
    </row>
    <row r="438" spans="2:7" x14ac:dyDescent="0.25">
      <c r="B438" s="14" t="s">
        <v>179</v>
      </c>
      <c r="C438" s="14" t="s">
        <v>281</v>
      </c>
      <c r="D438" s="23">
        <v>13760556</v>
      </c>
      <c r="E438" s="19">
        <v>12420248</v>
      </c>
      <c r="F438" s="23">
        <v>12359148</v>
      </c>
      <c r="G438" s="54"/>
    </row>
    <row r="439" spans="2:7" s="265" customFormat="1" x14ac:dyDescent="0.25">
      <c r="B439" s="14" t="s">
        <v>88</v>
      </c>
      <c r="C439" s="14" t="s">
        <v>544</v>
      </c>
      <c r="D439" s="23">
        <f>3708000+5113047</f>
        <v>8821047</v>
      </c>
      <c r="E439" s="19">
        <v>10058352</v>
      </c>
      <c r="F439" s="19">
        <v>4990000</v>
      </c>
      <c r="G439" s="124"/>
    </row>
    <row r="440" spans="2:7" x14ac:dyDescent="0.25">
      <c r="B440" s="14" t="s">
        <v>89</v>
      </c>
      <c r="C440" s="14" t="s">
        <v>241</v>
      </c>
      <c r="D440" s="23">
        <v>5000000</v>
      </c>
      <c r="E440" s="19">
        <v>4757217</v>
      </c>
      <c r="F440" s="23">
        <v>2000000</v>
      </c>
      <c r="G440" s="54"/>
    </row>
    <row r="441" spans="2:7" x14ac:dyDescent="0.25">
      <c r="B441" s="61" t="s">
        <v>139</v>
      </c>
      <c r="C441" s="61" t="s">
        <v>140</v>
      </c>
      <c r="D441" s="84">
        <f t="shared" ref="D441" si="63">SUM(D432:D440)</f>
        <v>201574611</v>
      </c>
      <c r="E441" s="82">
        <f t="shared" ref="E441" si="64">SUM(E432:E440)</f>
        <v>209320694</v>
      </c>
      <c r="F441" s="82">
        <f>SUM(F432:F440)</f>
        <v>254987648</v>
      </c>
      <c r="G441" s="122"/>
    </row>
    <row r="442" spans="2:7" x14ac:dyDescent="0.25">
      <c r="B442" s="61" t="s">
        <v>141</v>
      </c>
      <c r="C442" s="61" t="s">
        <v>282</v>
      </c>
      <c r="D442" s="81">
        <v>27758670</v>
      </c>
      <c r="E442" s="82">
        <v>28853146</v>
      </c>
      <c r="F442" s="81">
        <f>F441*0.13-F443</f>
        <v>31748394.240000002</v>
      </c>
      <c r="G442" s="123"/>
    </row>
    <row r="443" spans="2:7" x14ac:dyDescent="0.25">
      <c r="B443" s="61" t="s">
        <v>141</v>
      </c>
      <c r="C443" s="61" t="s">
        <v>497</v>
      </c>
      <c r="D443" s="81">
        <v>0</v>
      </c>
      <c r="E443" s="82">
        <v>0</v>
      </c>
      <c r="F443" s="82">
        <v>1400000</v>
      </c>
      <c r="G443" s="123"/>
    </row>
    <row r="444" spans="2:7" s="265" customFormat="1" x14ac:dyDescent="0.25">
      <c r="B444" s="14" t="s">
        <v>182</v>
      </c>
      <c r="C444" s="14" t="s">
        <v>538</v>
      </c>
      <c r="D444" s="24">
        <v>1200000</v>
      </c>
      <c r="E444" s="20">
        <v>1052790</v>
      </c>
      <c r="F444" s="20">
        <v>600000</v>
      </c>
      <c r="G444" s="124"/>
    </row>
    <row r="445" spans="2:7" s="265" customFormat="1" x14ac:dyDescent="0.25">
      <c r="B445" s="14" t="s">
        <v>143</v>
      </c>
      <c r="C445" s="14" t="s">
        <v>296</v>
      </c>
      <c r="D445" s="93">
        <v>7000000</v>
      </c>
      <c r="E445" s="79">
        <v>7892712</v>
      </c>
      <c r="F445" s="79">
        <v>6000000</v>
      </c>
      <c r="G445" s="310"/>
    </row>
    <row r="446" spans="2:7" s="265" customFormat="1" x14ac:dyDescent="0.25">
      <c r="B446" s="14" t="s">
        <v>183</v>
      </c>
      <c r="C446" s="14" t="s">
        <v>283</v>
      </c>
      <c r="D446" s="24">
        <v>2500000</v>
      </c>
      <c r="E446" s="19">
        <v>2365496</v>
      </c>
      <c r="F446" s="19">
        <v>2500000</v>
      </c>
      <c r="G446" s="310"/>
    </row>
    <row r="447" spans="2:7" s="265" customFormat="1" x14ac:dyDescent="0.25">
      <c r="B447" s="14" t="s">
        <v>144</v>
      </c>
      <c r="C447" s="14" t="s">
        <v>492</v>
      </c>
      <c r="D447" s="23">
        <v>15000000</v>
      </c>
      <c r="E447" s="19">
        <v>16154170</v>
      </c>
      <c r="F447" s="19">
        <v>14800000</v>
      </c>
      <c r="G447" s="124"/>
    </row>
    <row r="448" spans="2:7" s="265" customFormat="1" x14ac:dyDescent="0.25">
      <c r="B448" s="14" t="s">
        <v>175</v>
      </c>
      <c r="C448" s="14" t="s">
        <v>493</v>
      </c>
      <c r="D448" s="93">
        <v>5200000</v>
      </c>
      <c r="E448" s="79">
        <v>3406131</v>
      </c>
      <c r="F448" s="79">
        <v>3300000</v>
      </c>
      <c r="G448" s="124"/>
    </row>
    <row r="449" spans="2:7" s="265" customFormat="1" x14ac:dyDescent="0.25">
      <c r="B449" s="14" t="s">
        <v>185</v>
      </c>
      <c r="C449" s="14" t="s">
        <v>494</v>
      </c>
      <c r="D449" s="93">
        <v>2500000</v>
      </c>
      <c r="E449" s="79">
        <v>3535100</v>
      </c>
      <c r="F449" s="79">
        <v>3200000</v>
      </c>
      <c r="G449" s="124"/>
    </row>
    <row r="450" spans="2:7" s="265" customFormat="1" x14ac:dyDescent="0.25">
      <c r="B450" s="14" t="s">
        <v>187</v>
      </c>
      <c r="C450" s="14" t="s">
        <v>495</v>
      </c>
      <c r="D450" s="93">
        <v>550000</v>
      </c>
      <c r="E450" s="79">
        <v>402993</v>
      </c>
      <c r="F450" s="79">
        <v>300000</v>
      </c>
      <c r="G450" s="124"/>
    </row>
    <row r="451" spans="2:7" s="265" customFormat="1" x14ac:dyDescent="0.25">
      <c r="B451" s="14" t="s">
        <v>147</v>
      </c>
      <c r="C451" s="14" t="s">
        <v>284</v>
      </c>
      <c r="D451" s="24">
        <v>500000</v>
      </c>
      <c r="E451" s="20">
        <v>169500</v>
      </c>
      <c r="F451" s="20">
        <v>200000</v>
      </c>
      <c r="G451" s="124"/>
    </row>
    <row r="452" spans="2:7" s="265" customFormat="1" x14ac:dyDescent="0.25">
      <c r="B452" s="14" t="s">
        <v>94</v>
      </c>
      <c r="C452" s="14" t="s">
        <v>545</v>
      </c>
      <c r="D452" s="24">
        <v>2000000</v>
      </c>
      <c r="E452" s="20">
        <v>1804372</v>
      </c>
      <c r="F452" s="20">
        <v>1900000</v>
      </c>
      <c r="G452" s="124"/>
    </row>
    <row r="453" spans="2:7" s="265" customFormat="1" x14ac:dyDescent="0.25">
      <c r="B453" s="14" t="s">
        <v>95</v>
      </c>
      <c r="C453" s="14" t="s">
        <v>546</v>
      </c>
      <c r="D453" s="24">
        <v>6000000</v>
      </c>
      <c r="E453" s="20">
        <v>8772475</v>
      </c>
      <c r="F453" s="20">
        <v>7800000</v>
      </c>
      <c r="G453" s="124"/>
    </row>
    <row r="454" spans="2:7" s="265" customFormat="1" x14ac:dyDescent="0.25">
      <c r="B454" s="14" t="s">
        <v>190</v>
      </c>
      <c r="C454" s="14" t="s">
        <v>191</v>
      </c>
      <c r="D454" s="24">
        <v>100000</v>
      </c>
      <c r="E454" s="19">
        <v>78475</v>
      </c>
      <c r="F454" s="20">
        <v>100000</v>
      </c>
      <c r="G454" s="124"/>
    </row>
    <row r="455" spans="2:7" x14ac:dyDescent="0.25">
      <c r="B455" s="14" t="s">
        <v>96</v>
      </c>
      <c r="C455" s="14" t="s">
        <v>160</v>
      </c>
      <c r="D455" s="23">
        <v>8231000</v>
      </c>
      <c r="E455" s="19">
        <v>8149854</v>
      </c>
      <c r="F455" s="23">
        <f>(F444+F445+F446+F447+F448+F449+F450+F451+F452+F453+F454)*0.27</f>
        <v>10989000</v>
      </c>
      <c r="G455" s="54"/>
    </row>
    <row r="456" spans="2:7" x14ac:dyDescent="0.25">
      <c r="B456" s="14" t="s">
        <v>193</v>
      </c>
      <c r="C456" s="14" t="s">
        <v>399</v>
      </c>
      <c r="D456" s="23">
        <v>55000</v>
      </c>
      <c r="E456" s="20">
        <v>55000</v>
      </c>
      <c r="F456" s="23">
        <v>405000</v>
      </c>
      <c r="G456" s="54"/>
    </row>
    <row r="457" spans="2:7" x14ac:dyDescent="0.25">
      <c r="B457" s="14" t="s">
        <v>102</v>
      </c>
      <c r="C457" s="14" t="s">
        <v>398</v>
      </c>
      <c r="D457" s="24">
        <f>444233+200000</f>
        <v>644233</v>
      </c>
      <c r="E457" s="165">
        <v>1551835</v>
      </c>
      <c r="F457" s="24">
        <v>1500000</v>
      </c>
      <c r="G457" s="125"/>
    </row>
    <row r="458" spans="2:7" x14ac:dyDescent="0.25">
      <c r="B458" s="61" t="s">
        <v>98</v>
      </c>
      <c r="C458" s="61" t="s">
        <v>149</v>
      </c>
      <c r="D458" s="63">
        <f t="shared" ref="D458" si="65">SUM(D444:D457)</f>
        <v>51480233</v>
      </c>
      <c r="E458" s="80">
        <f>SUM(E444:E457)</f>
        <v>55390903</v>
      </c>
      <c r="F458" s="65">
        <f>SUM(F444:F457)</f>
        <v>53594000</v>
      </c>
      <c r="G458" s="123"/>
    </row>
    <row r="459" spans="2:7" x14ac:dyDescent="0.25">
      <c r="B459" s="14" t="s">
        <v>195</v>
      </c>
      <c r="C459" s="14" t="s">
        <v>285</v>
      </c>
      <c r="D459" s="19">
        <v>2500000</v>
      </c>
      <c r="E459" s="19">
        <v>2148706</v>
      </c>
      <c r="F459" s="19">
        <v>800000</v>
      </c>
      <c r="G459" s="54"/>
    </row>
    <row r="460" spans="2:7" x14ac:dyDescent="0.25">
      <c r="B460" s="14" t="s">
        <v>150</v>
      </c>
      <c r="C460" s="14" t="s">
        <v>547</v>
      </c>
      <c r="D460" s="24">
        <v>1000000</v>
      </c>
      <c r="E460" s="19">
        <v>16470305</v>
      </c>
      <c r="F460" s="93">
        <v>2500000</v>
      </c>
      <c r="G460" s="54"/>
    </row>
    <row r="461" spans="2:7" x14ac:dyDescent="0.25">
      <c r="B461" s="14" t="s">
        <v>152</v>
      </c>
      <c r="C461" s="14" t="s">
        <v>286</v>
      </c>
      <c r="D461" s="23">
        <v>945000</v>
      </c>
      <c r="E461" s="19">
        <v>4768659</v>
      </c>
      <c r="F461" s="23">
        <f>(F459+F460)*0.27</f>
        <v>891000.00000000012</v>
      </c>
      <c r="G461" s="125"/>
    </row>
    <row r="462" spans="2:7" x14ac:dyDescent="0.25">
      <c r="B462" s="61" t="s">
        <v>154</v>
      </c>
      <c r="C462" s="61" t="s">
        <v>155</v>
      </c>
      <c r="D462" s="64">
        <f>SUM(D459:D461)</f>
        <v>4445000</v>
      </c>
      <c r="E462" s="80">
        <f t="shared" ref="E462" si="66">SUM(E459:E461)</f>
        <v>23387670</v>
      </c>
      <c r="F462" s="65">
        <f t="shared" ref="F462" si="67">SUM(F459:F461)</f>
        <v>4191000</v>
      </c>
      <c r="G462" s="123"/>
    </row>
    <row r="463" spans="2:7" x14ac:dyDescent="0.25">
      <c r="B463" s="42" t="s">
        <v>156</v>
      </c>
      <c r="C463" s="46"/>
      <c r="D463" s="253">
        <f t="shared" ref="D463" si="68">D441+D442+D458+D462</f>
        <v>285258514</v>
      </c>
      <c r="E463" s="126">
        <f t="shared" ref="E463" si="69">E441+E442+E458+E462</f>
        <v>316952413</v>
      </c>
      <c r="F463" s="126">
        <f>F441+F442+F458+F462+F443</f>
        <v>345921042.24000001</v>
      </c>
      <c r="G463" s="127"/>
    </row>
    <row r="464" spans="2:7" x14ac:dyDescent="0.25">
      <c r="B464" s="69"/>
      <c r="C464" s="69"/>
      <c r="D464" s="173"/>
      <c r="E464" s="173"/>
      <c r="F464" s="60"/>
    </row>
    <row r="465" spans="2:7" x14ac:dyDescent="0.25">
      <c r="B465" s="70"/>
      <c r="C465" s="70"/>
      <c r="D465" s="173"/>
      <c r="E465" s="173"/>
      <c r="F465" s="60"/>
    </row>
    <row r="466" spans="2:7" x14ac:dyDescent="0.25">
      <c r="B466" s="158" t="s">
        <v>70</v>
      </c>
      <c r="C466" s="159"/>
      <c r="D466" s="160"/>
      <c r="E466" s="160"/>
      <c r="F466" s="160"/>
    </row>
    <row r="467" spans="2:7" x14ac:dyDescent="0.25">
      <c r="B467" s="14" t="s">
        <v>88</v>
      </c>
      <c r="C467" s="14" t="s">
        <v>287</v>
      </c>
      <c r="D467" s="33">
        <v>0</v>
      </c>
      <c r="E467" s="19">
        <v>773000</v>
      </c>
      <c r="F467" s="23">
        <v>773000</v>
      </c>
      <c r="G467" s="273"/>
    </row>
    <row r="468" spans="2:7" x14ac:dyDescent="0.25">
      <c r="B468" s="14" t="s">
        <v>135</v>
      </c>
      <c r="C468" s="38" t="s">
        <v>200</v>
      </c>
      <c r="D468" s="33">
        <v>0</v>
      </c>
      <c r="E468" s="19">
        <v>0</v>
      </c>
      <c r="F468" s="23">
        <v>0</v>
      </c>
      <c r="G468" s="273"/>
    </row>
    <row r="469" spans="2:7" x14ac:dyDescent="0.25">
      <c r="B469" s="14" t="s">
        <v>89</v>
      </c>
      <c r="C469" s="14" t="s">
        <v>288</v>
      </c>
      <c r="D469" s="33">
        <v>0</v>
      </c>
      <c r="E469" s="19">
        <v>1199785</v>
      </c>
      <c r="F469" s="23">
        <v>1200000</v>
      </c>
      <c r="G469" s="86"/>
    </row>
    <row r="470" spans="2:7" x14ac:dyDescent="0.25">
      <c r="B470" s="61" t="s">
        <v>139</v>
      </c>
      <c r="C470" s="117" t="s">
        <v>140</v>
      </c>
      <c r="D470" s="254">
        <v>0</v>
      </c>
      <c r="E470" s="82">
        <f>SUM(E467:E469)</f>
        <v>1972785</v>
      </c>
      <c r="F470" s="81">
        <f>SUM(F467:F469)</f>
        <v>1973000</v>
      </c>
      <c r="G470" s="273"/>
    </row>
    <row r="471" spans="2:7" x14ac:dyDescent="0.25">
      <c r="B471" s="14" t="s">
        <v>141</v>
      </c>
      <c r="C471" s="38" t="s">
        <v>289</v>
      </c>
      <c r="D471" s="33">
        <v>0</v>
      </c>
      <c r="E471" s="19">
        <v>268542</v>
      </c>
      <c r="F471" s="23">
        <f>F470*0.13</f>
        <v>256490</v>
      </c>
      <c r="G471" s="273"/>
    </row>
    <row r="472" spans="2:7" x14ac:dyDescent="0.25">
      <c r="B472" s="61" t="s">
        <v>141</v>
      </c>
      <c r="C472" s="61" t="s">
        <v>282</v>
      </c>
      <c r="D472" s="254">
        <f>SUM(D471)</f>
        <v>0</v>
      </c>
      <c r="E472" s="82">
        <f t="shared" ref="E472" si="70">SUM(E471)</f>
        <v>268542</v>
      </c>
      <c r="F472" s="81">
        <f t="shared" ref="F472" si="71">SUM(F471)</f>
        <v>256490</v>
      </c>
      <c r="G472" s="273"/>
    </row>
    <row r="473" spans="2:7" x14ac:dyDescent="0.25">
      <c r="B473" s="14" t="s">
        <v>143</v>
      </c>
      <c r="C473" s="38" t="s">
        <v>220</v>
      </c>
      <c r="D473" s="33">
        <v>0</v>
      </c>
      <c r="E473" s="19">
        <v>304394</v>
      </c>
      <c r="F473" s="23">
        <v>305000</v>
      </c>
      <c r="G473" s="273"/>
    </row>
    <row r="474" spans="2:7" x14ac:dyDescent="0.25">
      <c r="B474" s="14" t="s">
        <v>96</v>
      </c>
      <c r="C474" s="38" t="s">
        <v>97</v>
      </c>
      <c r="D474" s="33">
        <v>0</v>
      </c>
      <c r="E474" s="19">
        <v>68699</v>
      </c>
      <c r="F474" s="23">
        <f>F473*0.27</f>
        <v>82350</v>
      </c>
      <c r="G474" s="273"/>
    </row>
    <row r="475" spans="2:7" x14ac:dyDescent="0.25">
      <c r="B475" s="14" t="s">
        <v>102</v>
      </c>
      <c r="C475" s="38" t="s">
        <v>161</v>
      </c>
      <c r="D475" s="33">
        <v>0</v>
      </c>
      <c r="E475" s="19">
        <v>31102</v>
      </c>
      <c r="F475" s="23">
        <v>383160</v>
      </c>
      <c r="G475" s="273"/>
    </row>
    <row r="476" spans="2:7" x14ac:dyDescent="0.25">
      <c r="B476" s="61" t="s">
        <v>98</v>
      </c>
      <c r="C476" s="117" t="s">
        <v>99</v>
      </c>
      <c r="D476" s="254">
        <f>SUM(D473:D475)</f>
        <v>0</v>
      </c>
      <c r="E476" s="82">
        <f t="shared" ref="E476" si="72">SUM(E473:E475)</f>
        <v>404195</v>
      </c>
      <c r="F476" s="81">
        <f>SUM(F473:F475)</f>
        <v>770510</v>
      </c>
      <c r="G476" s="273"/>
    </row>
    <row r="477" spans="2:7" x14ac:dyDescent="0.25">
      <c r="B477" s="145" t="s">
        <v>100</v>
      </c>
      <c r="C477" s="145"/>
      <c r="D477" s="255">
        <f t="shared" ref="D477" si="73">D470+D472+D476</f>
        <v>0</v>
      </c>
      <c r="E477" s="28">
        <f t="shared" ref="E477" si="74">E470+E472+E476</f>
        <v>2645522</v>
      </c>
      <c r="F477" s="28">
        <f>F470+F472+F476</f>
        <v>3000000</v>
      </c>
      <c r="G477" s="273"/>
    </row>
    <row r="478" spans="2:7" x14ac:dyDescent="0.25">
      <c r="B478" s="1"/>
      <c r="C478" s="5"/>
      <c r="D478" s="173"/>
      <c r="E478" s="173"/>
      <c r="F478" s="60"/>
    </row>
    <row r="479" spans="2:7" x14ac:dyDescent="0.25">
      <c r="B479" s="148" t="s">
        <v>290</v>
      </c>
      <c r="C479" s="148"/>
      <c r="D479" s="204">
        <f>D463+D477</f>
        <v>285258514</v>
      </c>
      <c r="E479" s="204">
        <f>E463+E477</f>
        <v>319597935</v>
      </c>
      <c r="F479" s="128">
        <f>F463+F477</f>
        <v>348921042.24000001</v>
      </c>
    </row>
    <row r="480" spans="2:7" x14ac:dyDescent="0.25">
      <c r="B480" s="1"/>
      <c r="C480" s="69"/>
      <c r="D480" s="173"/>
      <c r="E480" s="173"/>
      <c r="F480" s="60"/>
    </row>
    <row r="481" spans="2:7" x14ac:dyDescent="0.25">
      <c r="B481" s="1"/>
      <c r="C481" s="1"/>
      <c r="D481" s="173"/>
      <c r="E481" s="173"/>
      <c r="F481" s="60"/>
    </row>
    <row r="482" spans="2:7" ht="15" customHeight="1" x14ac:dyDescent="0.25">
      <c r="B482" s="274" t="s">
        <v>291</v>
      </c>
      <c r="C482" s="274"/>
      <c r="D482" s="261"/>
      <c r="E482" s="261"/>
      <c r="F482" s="274"/>
    </row>
    <row r="483" spans="2:7" ht="15" customHeight="1" x14ac:dyDescent="0.25">
      <c r="B483" s="274"/>
      <c r="C483" s="274"/>
      <c r="D483" s="261"/>
      <c r="E483" s="261"/>
      <c r="F483" s="274"/>
    </row>
    <row r="484" spans="2:7" x14ac:dyDescent="0.25">
      <c r="B484" s="35"/>
      <c r="C484" s="35"/>
      <c r="D484" s="173"/>
      <c r="E484" s="173"/>
      <c r="F484" s="60"/>
    </row>
    <row r="485" spans="2:7" x14ac:dyDescent="0.25">
      <c r="B485" s="117" t="s">
        <v>292</v>
      </c>
      <c r="C485" s="61"/>
      <c r="D485" s="61"/>
      <c r="E485" s="61"/>
      <c r="F485" s="61"/>
    </row>
    <row r="486" spans="2:7" x14ac:dyDescent="0.25">
      <c r="B486" s="38" t="s">
        <v>182</v>
      </c>
      <c r="C486" s="14" t="s">
        <v>207</v>
      </c>
      <c r="D486" s="93">
        <f>6559332*0.1</f>
        <v>655933.20000000007</v>
      </c>
      <c r="E486" s="79">
        <v>646329</v>
      </c>
      <c r="F486" s="93">
        <v>680000</v>
      </c>
    </row>
    <row r="487" spans="2:7" x14ac:dyDescent="0.25">
      <c r="B487" s="38" t="s">
        <v>96</v>
      </c>
      <c r="C487" s="14" t="s">
        <v>160</v>
      </c>
      <c r="D487" s="24">
        <f>D486*0.05</f>
        <v>32796.660000000003</v>
      </c>
      <c r="E487" s="20">
        <v>32316</v>
      </c>
      <c r="F487" s="24">
        <v>183600</v>
      </c>
    </row>
    <row r="488" spans="2:7" x14ac:dyDescent="0.25">
      <c r="B488" s="117" t="s">
        <v>98</v>
      </c>
      <c r="C488" s="61" t="s">
        <v>226</v>
      </c>
      <c r="D488" s="211">
        <f>SUM(D486:D487)</f>
        <v>688729.8600000001</v>
      </c>
      <c r="E488" s="221">
        <f t="shared" ref="E488" si="75">SUM(E486:E487)</f>
        <v>678645</v>
      </c>
      <c r="F488" s="211">
        <f t="shared" ref="F488" si="76">SUM(F486:F487)</f>
        <v>863600</v>
      </c>
    </row>
    <row r="489" spans="2:7" x14ac:dyDescent="0.25">
      <c r="B489" s="35"/>
      <c r="C489" s="35"/>
      <c r="D489" s="173"/>
      <c r="E489" s="173"/>
      <c r="F489" s="60"/>
    </row>
    <row r="490" spans="2:7" x14ac:dyDescent="0.25">
      <c r="B490" s="35"/>
      <c r="C490" s="146"/>
      <c r="D490" s="173"/>
      <c r="E490" s="173"/>
      <c r="F490" s="60"/>
    </row>
    <row r="491" spans="2:7" x14ac:dyDescent="0.25">
      <c r="B491" s="117" t="s">
        <v>293</v>
      </c>
      <c r="C491" s="118"/>
      <c r="D491" s="147"/>
      <c r="E491" s="147"/>
      <c r="F491" s="147"/>
    </row>
    <row r="492" spans="2:7" x14ac:dyDescent="0.25">
      <c r="B492" s="38" t="s">
        <v>133</v>
      </c>
      <c r="C492" s="14" t="s">
        <v>294</v>
      </c>
      <c r="D492" s="23">
        <v>5896800</v>
      </c>
      <c r="E492" s="19">
        <v>5335200</v>
      </c>
      <c r="F492" s="23">
        <v>7200000</v>
      </c>
      <c r="G492" s="86"/>
    </row>
    <row r="493" spans="2:7" x14ac:dyDescent="0.25">
      <c r="B493" s="38" t="s">
        <v>135</v>
      </c>
      <c r="C493" s="14" t="s">
        <v>239</v>
      </c>
      <c r="D493" s="23">
        <v>62360</v>
      </c>
      <c r="E493" s="19">
        <v>62360</v>
      </c>
      <c r="F493" s="23">
        <v>0</v>
      </c>
      <c r="G493" s="86"/>
    </row>
    <row r="494" spans="2:7" x14ac:dyDescent="0.25">
      <c r="B494" s="38" t="s">
        <v>179</v>
      </c>
      <c r="C494" s="14" t="s">
        <v>281</v>
      </c>
      <c r="E494" s="19">
        <v>0</v>
      </c>
      <c r="F494" s="23">
        <v>203040</v>
      </c>
      <c r="G494" s="86"/>
    </row>
    <row r="495" spans="2:7" x14ac:dyDescent="0.25">
      <c r="B495" s="38" t="s">
        <v>88</v>
      </c>
      <c r="C495" s="14" t="s">
        <v>180</v>
      </c>
      <c r="D495" s="23">
        <v>12000</v>
      </c>
      <c r="E495" s="19">
        <v>0</v>
      </c>
      <c r="F495" s="23">
        <v>0</v>
      </c>
      <c r="G495" s="86"/>
    </row>
    <row r="496" spans="2:7" x14ac:dyDescent="0.25">
      <c r="B496" s="38" t="s">
        <v>89</v>
      </c>
      <c r="C496" s="14" t="s">
        <v>241</v>
      </c>
      <c r="D496" s="23">
        <v>20000</v>
      </c>
      <c r="E496" s="19">
        <v>0</v>
      </c>
      <c r="F496" s="23">
        <v>0</v>
      </c>
      <c r="G496" s="86"/>
    </row>
    <row r="497" spans="2:7" x14ac:dyDescent="0.25">
      <c r="B497" s="117" t="s">
        <v>139</v>
      </c>
      <c r="C497" s="61" t="s">
        <v>140</v>
      </c>
      <c r="D497" s="129">
        <f>SUM(D492:D496)</f>
        <v>5991160</v>
      </c>
      <c r="E497" s="130">
        <f t="shared" ref="E497:F497" si="77">SUM(E492:E496)</f>
        <v>5397560</v>
      </c>
      <c r="F497" s="130">
        <f t="shared" si="77"/>
        <v>7403040</v>
      </c>
      <c r="G497" s="131"/>
    </row>
    <row r="498" spans="2:7" x14ac:dyDescent="0.25">
      <c r="B498" s="117" t="s">
        <v>141</v>
      </c>
      <c r="C498" s="61" t="s">
        <v>229</v>
      </c>
      <c r="D498" s="65">
        <v>778851</v>
      </c>
      <c r="E498" s="82">
        <v>721656</v>
      </c>
      <c r="F498" s="81">
        <f>F497*0.13</f>
        <v>962395.20000000007</v>
      </c>
      <c r="G498" s="30"/>
    </row>
    <row r="499" spans="2:7" x14ac:dyDescent="0.25">
      <c r="B499" s="38" t="s">
        <v>182</v>
      </c>
      <c r="C499" s="14" t="s">
        <v>207</v>
      </c>
      <c r="D499" s="24">
        <v>200000</v>
      </c>
      <c r="E499" s="20">
        <v>14945</v>
      </c>
      <c r="F499" s="24">
        <v>200000</v>
      </c>
      <c r="G499" s="86"/>
    </row>
    <row r="500" spans="2:7" x14ac:dyDescent="0.25">
      <c r="B500" s="38" t="s">
        <v>295</v>
      </c>
      <c r="C500" s="14" t="s">
        <v>296</v>
      </c>
      <c r="D500" s="24">
        <v>500000</v>
      </c>
      <c r="E500" s="20">
        <v>15433</v>
      </c>
      <c r="F500" s="24">
        <v>300000</v>
      </c>
      <c r="G500" s="86"/>
    </row>
    <row r="501" spans="2:7" x14ac:dyDescent="0.25">
      <c r="B501" s="14" t="s">
        <v>144</v>
      </c>
      <c r="C501" s="38" t="s">
        <v>145</v>
      </c>
      <c r="E501" s="19">
        <v>644136</v>
      </c>
      <c r="F501" s="24">
        <v>200000</v>
      </c>
      <c r="G501" s="86"/>
    </row>
    <row r="502" spans="2:7" x14ac:dyDescent="0.25">
      <c r="B502" s="38" t="s">
        <v>175</v>
      </c>
      <c r="C502" s="14" t="s">
        <v>184</v>
      </c>
      <c r="D502" s="23">
        <v>800000</v>
      </c>
      <c r="E502" s="19">
        <v>0</v>
      </c>
      <c r="F502" s="23">
        <v>800000</v>
      </c>
      <c r="G502" s="86"/>
    </row>
    <row r="503" spans="2:7" x14ac:dyDescent="0.25">
      <c r="B503" s="38" t="s">
        <v>185</v>
      </c>
      <c r="C503" s="14" t="s">
        <v>548</v>
      </c>
      <c r="D503" s="265">
        <v>0</v>
      </c>
      <c r="E503" s="19">
        <v>10169</v>
      </c>
      <c r="F503" s="23">
        <v>800000</v>
      </c>
      <c r="G503" s="86"/>
    </row>
    <row r="504" spans="2:7" x14ac:dyDescent="0.25">
      <c r="B504" s="14" t="s">
        <v>187</v>
      </c>
      <c r="C504" s="38" t="s">
        <v>304</v>
      </c>
      <c r="D504" s="33">
        <v>0</v>
      </c>
      <c r="E504" s="20">
        <v>0</v>
      </c>
      <c r="F504" s="24">
        <v>100000</v>
      </c>
      <c r="G504" s="86"/>
    </row>
    <row r="505" spans="2:7" x14ac:dyDescent="0.25">
      <c r="B505" s="38" t="s">
        <v>189</v>
      </c>
      <c r="C505" s="14" t="s">
        <v>549</v>
      </c>
      <c r="D505" s="33">
        <v>0</v>
      </c>
      <c r="E505" s="20">
        <v>0</v>
      </c>
      <c r="F505" s="93">
        <v>50000</v>
      </c>
      <c r="G505" s="86"/>
    </row>
    <row r="506" spans="2:7" x14ac:dyDescent="0.25">
      <c r="B506" s="38" t="s">
        <v>147</v>
      </c>
      <c r="C506" s="14" t="s">
        <v>297</v>
      </c>
      <c r="D506" s="24">
        <v>200000</v>
      </c>
      <c r="E506" s="20">
        <v>0</v>
      </c>
      <c r="F506" s="24">
        <v>100000</v>
      </c>
      <c r="G506" s="86"/>
    </row>
    <row r="507" spans="2:7" x14ac:dyDescent="0.25">
      <c r="B507" s="38" t="s">
        <v>94</v>
      </c>
      <c r="C507" s="14" t="s">
        <v>401</v>
      </c>
      <c r="D507" s="24">
        <v>200000</v>
      </c>
      <c r="E507" s="20">
        <v>0</v>
      </c>
      <c r="F507" s="24">
        <v>100000</v>
      </c>
      <c r="G507" s="86"/>
    </row>
    <row r="508" spans="2:7" x14ac:dyDescent="0.25">
      <c r="B508" s="38" t="s">
        <v>95</v>
      </c>
      <c r="C508" s="14" t="s">
        <v>402</v>
      </c>
      <c r="D508" s="24">
        <v>200000</v>
      </c>
      <c r="E508" s="20">
        <v>3958</v>
      </c>
      <c r="F508" s="24">
        <v>100000</v>
      </c>
      <c r="G508" s="86"/>
    </row>
    <row r="509" spans="2:7" x14ac:dyDescent="0.25">
      <c r="B509" s="38" t="s">
        <v>96</v>
      </c>
      <c r="C509" s="14" t="s">
        <v>160</v>
      </c>
      <c r="D509" s="23">
        <v>567000</v>
      </c>
      <c r="E509" s="19">
        <v>178566</v>
      </c>
      <c r="F509" s="23">
        <f>(F499+F500+F502+F505+F508+F501+F503+F504+F506+F507)*0.27</f>
        <v>742500</v>
      </c>
      <c r="G509" s="86"/>
    </row>
    <row r="510" spans="2:7" x14ac:dyDescent="0.25">
      <c r="B510" s="117" t="s">
        <v>98</v>
      </c>
      <c r="C510" s="61" t="s">
        <v>226</v>
      </c>
      <c r="D510" s="211">
        <f>SUM(D499:D509)</f>
        <v>2667000</v>
      </c>
      <c r="E510" s="80">
        <f>SUM(E499:E509)</f>
        <v>867207</v>
      </c>
      <c r="F510" s="65">
        <f t="shared" ref="F510" si="78">SUM(F499:F509)</f>
        <v>3492500</v>
      </c>
      <c r="G510" s="30"/>
    </row>
    <row r="511" spans="2:7" x14ac:dyDescent="0.25">
      <c r="B511" s="38" t="s">
        <v>195</v>
      </c>
      <c r="C511" s="14" t="s">
        <v>285</v>
      </c>
      <c r="D511" s="24">
        <v>100000</v>
      </c>
      <c r="E511" s="20">
        <v>0</v>
      </c>
      <c r="F511" s="24">
        <v>300000</v>
      </c>
      <c r="G511" s="86"/>
    </row>
    <row r="512" spans="2:7" x14ac:dyDescent="0.25">
      <c r="B512" s="38" t="s">
        <v>150</v>
      </c>
      <c r="C512" s="14" t="s">
        <v>550</v>
      </c>
      <c r="D512" s="24">
        <v>270000</v>
      </c>
      <c r="E512" s="20">
        <v>0</v>
      </c>
      <c r="F512" s="24">
        <v>120000</v>
      </c>
      <c r="G512" s="86"/>
    </row>
    <row r="513" spans="2:7" x14ac:dyDescent="0.25">
      <c r="B513" s="38" t="s">
        <v>152</v>
      </c>
      <c r="C513" s="14" t="s">
        <v>299</v>
      </c>
      <c r="D513" s="24">
        <v>99900</v>
      </c>
      <c r="E513" s="20">
        <v>0</v>
      </c>
      <c r="F513" s="24">
        <f>(F511+F512)*0.27</f>
        <v>113400.00000000001</v>
      </c>
      <c r="G513" s="86"/>
    </row>
    <row r="514" spans="2:7" x14ac:dyDescent="0.25">
      <c r="B514" s="117" t="s">
        <v>154</v>
      </c>
      <c r="C514" s="61" t="s">
        <v>248</v>
      </c>
      <c r="D514" s="211">
        <f t="shared" ref="D514" si="79">SUM(D511:D513)</f>
        <v>469900</v>
      </c>
      <c r="E514" s="80">
        <f t="shared" ref="E514" si="80">SUM(E511:E513)</f>
        <v>0</v>
      </c>
      <c r="F514" s="65">
        <f>SUM(F511:F513)</f>
        <v>533400</v>
      </c>
      <c r="G514" s="30"/>
    </row>
    <row r="515" spans="2:7" x14ac:dyDescent="0.25">
      <c r="B515" s="42" t="s">
        <v>100</v>
      </c>
      <c r="C515" s="148"/>
      <c r="D515" s="256">
        <f>D497+D498+D510+D514</f>
        <v>9906911</v>
      </c>
      <c r="E515" s="132">
        <f t="shared" ref="E515" si="81">E497+E498+E510+E514</f>
        <v>6986423</v>
      </c>
      <c r="F515" s="132">
        <f>F497+F498+F510+F514</f>
        <v>12391335.199999999</v>
      </c>
      <c r="G515" s="131"/>
    </row>
    <row r="516" spans="2:7" x14ac:dyDescent="0.25">
      <c r="B516" s="269"/>
      <c r="C516" s="269"/>
      <c r="D516" s="173"/>
      <c r="E516" s="173"/>
      <c r="F516" s="60"/>
    </row>
    <row r="517" spans="2:7" x14ac:dyDescent="0.25">
      <c r="D517" s="173"/>
      <c r="E517" s="173"/>
      <c r="F517" s="60"/>
    </row>
    <row r="518" spans="2:7" x14ac:dyDescent="0.25">
      <c r="B518" s="260"/>
      <c r="C518" s="260"/>
      <c r="D518" s="173"/>
      <c r="E518" s="173"/>
      <c r="F518" s="60"/>
    </row>
    <row r="519" spans="2:7" x14ac:dyDescent="0.25">
      <c r="B519" s="117" t="s">
        <v>300</v>
      </c>
      <c r="C519" s="118"/>
      <c r="D519" s="147"/>
      <c r="E519" s="147"/>
      <c r="F519" s="147"/>
    </row>
    <row r="520" spans="2:7" x14ac:dyDescent="0.25">
      <c r="B520" s="14" t="s">
        <v>133</v>
      </c>
      <c r="C520" s="14" t="s">
        <v>301</v>
      </c>
      <c r="D520" s="23">
        <v>27008298</v>
      </c>
      <c r="E520" s="19">
        <v>27072677</v>
      </c>
      <c r="F520" s="23">
        <v>32427384</v>
      </c>
      <c r="G520" s="86"/>
    </row>
    <row r="521" spans="2:7" x14ac:dyDescent="0.25">
      <c r="B521" s="14" t="s">
        <v>135</v>
      </c>
      <c r="C521" s="38" t="s">
        <v>200</v>
      </c>
      <c r="D521" s="23">
        <v>301420</v>
      </c>
      <c r="E521" s="19">
        <v>301420</v>
      </c>
      <c r="F521" s="23">
        <v>0</v>
      </c>
      <c r="G521" s="86"/>
    </row>
    <row r="522" spans="2:7" x14ac:dyDescent="0.25">
      <c r="B522" s="14" t="s">
        <v>179</v>
      </c>
      <c r="C522" s="14" t="s">
        <v>281</v>
      </c>
      <c r="D522" s="23">
        <v>473712</v>
      </c>
      <c r="E522" s="19">
        <v>451124</v>
      </c>
      <c r="F522" s="23">
        <v>1073712</v>
      </c>
      <c r="G522" s="86"/>
    </row>
    <row r="523" spans="2:7" x14ac:dyDescent="0.25">
      <c r="B523" s="14" t="s">
        <v>88</v>
      </c>
      <c r="C523" s="38" t="s">
        <v>180</v>
      </c>
      <c r="D523" s="23">
        <v>200000</v>
      </c>
      <c r="E523" s="19">
        <v>147000</v>
      </c>
      <c r="F523" s="23">
        <v>200000</v>
      </c>
      <c r="G523" s="86"/>
    </row>
    <row r="524" spans="2:7" x14ac:dyDescent="0.25">
      <c r="B524" s="14" t="s">
        <v>89</v>
      </c>
      <c r="C524" s="38" t="s">
        <v>241</v>
      </c>
      <c r="D524" s="23">
        <v>500000</v>
      </c>
      <c r="E524" s="19">
        <v>694954</v>
      </c>
      <c r="F524" s="23">
        <v>500000</v>
      </c>
      <c r="G524" s="86"/>
    </row>
    <row r="525" spans="2:7" x14ac:dyDescent="0.25">
      <c r="B525" s="61" t="s">
        <v>139</v>
      </c>
      <c r="C525" s="61" t="s">
        <v>302</v>
      </c>
      <c r="D525" s="130">
        <f t="shared" ref="D525" si="82">SUM(D520:D524)</f>
        <v>28483430</v>
      </c>
      <c r="E525" s="82">
        <f t="shared" ref="E525" si="83">SUM(E520:E524)</f>
        <v>28667175</v>
      </c>
      <c r="F525" s="81">
        <f>SUM(F520:F524)</f>
        <v>34201096</v>
      </c>
      <c r="G525" s="30"/>
    </row>
    <row r="526" spans="2:7" x14ac:dyDescent="0.25">
      <c r="B526" s="61" t="s">
        <v>141</v>
      </c>
      <c r="C526" s="61" t="s">
        <v>229</v>
      </c>
      <c r="D526" s="65">
        <v>3702846</v>
      </c>
      <c r="E526" s="82">
        <v>3875453</v>
      </c>
      <c r="F526" s="81">
        <f>F525*0.13</f>
        <v>4446142.4800000004</v>
      </c>
      <c r="G526" s="30"/>
    </row>
    <row r="527" spans="2:7" x14ac:dyDescent="0.25">
      <c r="B527" s="14" t="s">
        <v>182</v>
      </c>
      <c r="C527" s="14" t="s">
        <v>303</v>
      </c>
      <c r="D527" s="24">
        <v>500000</v>
      </c>
      <c r="E527" s="20">
        <v>563673</v>
      </c>
      <c r="F527" s="24">
        <v>700000</v>
      </c>
      <c r="G527" s="86"/>
    </row>
    <row r="528" spans="2:7" x14ac:dyDescent="0.25">
      <c r="B528" s="14" t="s">
        <v>295</v>
      </c>
      <c r="C528" s="14" t="s">
        <v>220</v>
      </c>
      <c r="D528" s="24">
        <v>1200000</v>
      </c>
      <c r="E528" s="20">
        <v>1618565</v>
      </c>
      <c r="F528" s="24">
        <v>1600000</v>
      </c>
      <c r="G528" s="86"/>
    </row>
    <row r="529" spans="2:7" x14ac:dyDescent="0.25">
      <c r="B529" s="14" t="s">
        <v>144</v>
      </c>
      <c r="C529" s="38" t="s">
        <v>145</v>
      </c>
      <c r="D529" s="24">
        <v>400000</v>
      </c>
      <c r="E529" s="20">
        <v>428502</v>
      </c>
      <c r="F529" s="24">
        <v>300000</v>
      </c>
      <c r="G529" s="86"/>
    </row>
    <row r="530" spans="2:7" x14ac:dyDescent="0.25">
      <c r="B530" s="14" t="s">
        <v>175</v>
      </c>
      <c r="C530" s="14" t="s">
        <v>184</v>
      </c>
      <c r="D530" s="23">
        <v>1000000</v>
      </c>
      <c r="E530" s="19">
        <v>844960</v>
      </c>
      <c r="F530" s="23">
        <v>950000</v>
      </c>
      <c r="G530" s="86"/>
    </row>
    <row r="531" spans="2:7" x14ac:dyDescent="0.25">
      <c r="B531" s="14" t="s">
        <v>185</v>
      </c>
      <c r="C531" s="38" t="s">
        <v>186</v>
      </c>
      <c r="D531" s="24">
        <v>1000000</v>
      </c>
      <c r="E531" s="20">
        <v>1301460</v>
      </c>
      <c r="F531" s="24">
        <v>1350000</v>
      </c>
      <c r="G531" s="86"/>
    </row>
    <row r="532" spans="2:7" x14ac:dyDescent="0.25">
      <c r="B532" s="14" t="s">
        <v>187</v>
      </c>
      <c r="C532" s="38" t="s">
        <v>304</v>
      </c>
      <c r="D532" s="24">
        <v>0</v>
      </c>
      <c r="E532" s="20">
        <v>100681</v>
      </c>
      <c r="F532" s="24">
        <v>200000</v>
      </c>
      <c r="G532" s="86"/>
    </row>
    <row r="533" spans="2:7" x14ac:dyDescent="0.25">
      <c r="B533" s="14" t="s">
        <v>189</v>
      </c>
      <c r="C533" s="38" t="s">
        <v>244</v>
      </c>
      <c r="D533" s="24">
        <v>800000</v>
      </c>
      <c r="E533" s="20">
        <v>815216</v>
      </c>
      <c r="F533" s="24">
        <v>800000</v>
      </c>
      <c r="G533" s="86"/>
    </row>
    <row r="534" spans="2:7" x14ac:dyDescent="0.25">
      <c r="B534" s="14" t="s">
        <v>146</v>
      </c>
      <c r="C534" s="38" t="s">
        <v>305</v>
      </c>
      <c r="D534" s="24">
        <v>900000</v>
      </c>
      <c r="E534" s="20">
        <v>760000</v>
      </c>
      <c r="F534" s="24">
        <v>700000</v>
      </c>
      <c r="G534" s="86"/>
    </row>
    <row r="535" spans="2:7" x14ac:dyDescent="0.25">
      <c r="B535" s="14" t="s">
        <v>147</v>
      </c>
      <c r="C535" s="38" t="s">
        <v>148</v>
      </c>
      <c r="D535" s="24">
        <v>500000</v>
      </c>
      <c r="E535" s="20">
        <v>217300</v>
      </c>
      <c r="F535" s="24">
        <v>1000000</v>
      </c>
      <c r="G535" s="86"/>
    </row>
    <row r="536" spans="2:7" x14ac:dyDescent="0.25">
      <c r="B536" s="14" t="s">
        <v>94</v>
      </c>
      <c r="C536" s="14" t="s">
        <v>306</v>
      </c>
      <c r="D536" s="24">
        <v>650000</v>
      </c>
      <c r="E536" s="20">
        <v>349000</v>
      </c>
      <c r="F536" s="24">
        <v>400000</v>
      </c>
      <c r="G536" s="86"/>
    </row>
    <row r="537" spans="2:7" x14ac:dyDescent="0.25">
      <c r="B537" s="14" t="s">
        <v>95</v>
      </c>
      <c r="C537" s="14" t="s">
        <v>307</v>
      </c>
      <c r="D537" s="24">
        <v>12000000</v>
      </c>
      <c r="E537" s="20">
        <v>6741659</v>
      </c>
      <c r="F537" s="20">
        <v>16000000</v>
      </c>
      <c r="G537" s="86"/>
    </row>
    <row r="538" spans="2:7" x14ac:dyDescent="0.25">
      <c r="B538" s="14" t="s">
        <v>190</v>
      </c>
      <c r="C538" s="38" t="s">
        <v>308</v>
      </c>
      <c r="D538" s="24">
        <v>426288</v>
      </c>
      <c r="E538" s="20">
        <v>23485</v>
      </c>
      <c r="F538" s="24">
        <v>100000</v>
      </c>
      <c r="G538" s="86"/>
    </row>
    <row r="539" spans="2:7" x14ac:dyDescent="0.25">
      <c r="B539" s="14" t="s">
        <v>192</v>
      </c>
      <c r="C539" s="38" t="s">
        <v>309</v>
      </c>
      <c r="D539" s="24">
        <v>300000</v>
      </c>
      <c r="E539" s="20">
        <v>57000</v>
      </c>
      <c r="F539" s="24">
        <v>100000</v>
      </c>
      <c r="G539" s="86"/>
    </row>
    <row r="540" spans="2:7" x14ac:dyDescent="0.25">
      <c r="B540" s="14" t="s">
        <v>96</v>
      </c>
      <c r="C540" s="14" t="s">
        <v>160</v>
      </c>
      <c r="D540" s="24">
        <v>5143500</v>
      </c>
      <c r="E540" s="20">
        <v>2954237</v>
      </c>
      <c r="F540" s="20">
        <f>(F527+F528+F529+F530+F531+F532+F533+F534+F535+F536+F537+F538+F539)*0.27</f>
        <v>6534000</v>
      </c>
      <c r="G540" s="86"/>
    </row>
    <row r="541" spans="2:7" x14ac:dyDescent="0.25">
      <c r="B541" s="14" t="s">
        <v>102</v>
      </c>
      <c r="C541" s="38" t="s">
        <v>103</v>
      </c>
      <c r="D541" s="24">
        <v>50000</v>
      </c>
      <c r="E541" s="20">
        <v>19828</v>
      </c>
      <c r="F541" s="24">
        <v>30000</v>
      </c>
      <c r="G541" s="86"/>
    </row>
    <row r="542" spans="2:7" x14ac:dyDescent="0.25">
      <c r="B542" s="61" t="s">
        <v>98</v>
      </c>
      <c r="C542" s="61" t="s">
        <v>232</v>
      </c>
      <c r="D542" s="66">
        <f t="shared" ref="D542" si="84">SUM(D527:D541)</f>
        <v>24869788</v>
      </c>
      <c r="E542" s="174">
        <f t="shared" ref="E542" si="85">SUM(E527:E541)</f>
        <v>16795566</v>
      </c>
      <c r="F542" s="66">
        <f>SUM(F527:F541)</f>
        <v>30764000</v>
      </c>
      <c r="G542" s="30"/>
    </row>
    <row r="543" spans="2:7" x14ac:dyDescent="0.25">
      <c r="B543" s="14" t="s">
        <v>195</v>
      </c>
      <c r="C543" s="14" t="s">
        <v>285</v>
      </c>
      <c r="D543" s="24">
        <v>300000</v>
      </c>
      <c r="E543" s="20">
        <v>277992</v>
      </c>
      <c r="F543" s="24">
        <v>400000</v>
      </c>
      <c r="G543" s="30"/>
    </row>
    <row r="544" spans="2:7" x14ac:dyDescent="0.25">
      <c r="B544" s="14" t="s">
        <v>150</v>
      </c>
      <c r="C544" s="14" t="s">
        <v>298</v>
      </c>
      <c r="D544" s="24">
        <v>500000</v>
      </c>
      <c r="E544" s="20">
        <v>181457</v>
      </c>
      <c r="F544" s="24">
        <v>200000</v>
      </c>
      <c r="G544" s="86"/>
    </row>
    <row r="545" spans="2:7" x14ac:dyDescent="0.25">
      <c r="B545" s="14" t="s">
        <v>152</v>
      </c>
      <c r="C545" s="14" t="s">
        <v>299</v>
      </c>
      <c r="D545" s="19">
        <f>216000</f>
        <v>216000</v>
      </c>
      <c r="E545" s="19">
        <v>124051</v>
      </c>
      <c r="F545" s="19">
        <f>(F543+F544)*0.27</f>
        <v>162000</v>
      </c>
      <c r="G545" s="86"/>
    </row>
    <row r="546" spans="2:7" x14ac:dyDescent="0.25">
      <c r="B546" s="61" t="s">
        <v>154</v>
      </c>
      <c r="C546" s="117" t="s">
        <v>248</v>
      </c>
      <c r="D546" s="66">
        <f t="shared" ref="D546" si="86">SUM(D543:D545)</f>
        <v>1016000</v>
      </c>
      <c r="E546" s="174">
        <f t="shared" ref="E546:F546" si="87">SUM(E543:E545)</f>
        <v>583500</v>
      </c>
      <c r="F546" s="66">
        <f t="shared" si="87"/>
        <v>762000</v>
      </c>
      <c r="G546" s="30"/>
    </row>
    <row r="547" spans="2:7" x14ac:dyDescent="0.25">
      <c r="B547" s="148" t="s">
        <v>100</v>
      </c>
      <c r="C547" s="148"/>
      <c r="D547" s="133">
        <f t="shared" ref="D547" si="88">D525+D526+D542+D546</f>
        <v>58072064</v>
      </c>
      <c r="E547" s="133">
        <f t="shared" ref="E547" si="89">E525+E526+E542+E546</f>
        <v>49921694</v>
      </c>
      <c r="F547" s="133">
        <f>F525+F526+F542+F546</f>
        <v>70173238.480000004</v>
      </c>
      <c r="G547" s="134"/>
    </row>
    <row r="548" spans="2:7" x14ac:dyDescent="0.25">
      <c r="D548" s="173"/>
      <c r="E548" s="173"/>
      <c r="F548" s="60"/>
      <c r="G548" s="86"/>
    </row>
    <row r="549" spans="2:7" x14ac:dyDescent="0.25">
      <c r="B549" s="42" t="s">
        <v>310</v>
      </c>
      <c r="C549" s="46"/>
      <c r="D549" s="92">
        <f>D515+D547+D488</f>
        <v>68667704.859999999</v>
      </c>
      <c r="E549" s="92">
        <f t="shared" ref="E549" si="90">E515+E547+E488</f>
        <v>57586762</v>
      </c>
      <c r="F549" s="92">
        <f>F515+F547+F488</f>
        <v>83428173.680000007</v>
      </c>
      <c r="G549" s="31"/>
    </row>
    <row r="550" spans="2:7" x14ac:dyDescent="0.25">
      <c r="D550" s="173"/>
      <c r="E550" s="173"/>
      <c r="F550" s="60"/>
    </row>
    <row r="551" spans="2:7" x14ac:dyDescent="0.25">
      <c r="D551" s="173"/>
      <c r="E551" s="173"/>
      <c r="F551" s="60"/>
    </row>
    <row r="552" spans="2:7" x14ac:dyDescent="0.25">
      <c r="D552" s="173"/>
      <c r="E552" s="173"/>
      <c r="F552" s="60"/>
    </row>
    <row r="553" spans="2:7" x14ac:dyDescent="0.25">
      <c r="B553" s="261" t="s">
        <v>311</v>
      </c>
      <c r="C553" s="261"/>
      <c r="D553" s="261"/>
      <c r="E553" s="261"/>
      <c r="F553" s="261"/>
    </row>
    <row r="554" spans="2:7" x14ac:dyDescent="0.25">
      <c r="D554" s="173"/>
      <c r="E554" s="173"/>
      <c r="F554" s="60"/>
    </row>
    <row r="555" spans="2:7" x14ac:dyDescent="0.25">
      <c r="C555" s="260"/>
      <c r="D555" s="173"/>
      <c r="E555" s="173"/>
      <c r="F555" s="60"/>
    </row>
    <row r="556" spans="2:7" x14ac:dyDescent="0.25">
      <c r="B556" s="162" t="s">
        <v>83</v>
      </c>
      <c r="C556" s="163"/>
      <c r="D556" s="181"/>
      <c r="E556" s="181"/>
      <c r="F556" s="164"/>
    </row>
    <row r="557" spans="2:7" x14ac:dyDescent="0.25">
      <c r="B557" s="14" t="s">
        <v>133</v>
      </c>
      <c r="C557" s="161" t="s">
        <v>552</v>
      </c>
      <c r="D557" s="23">
        <v>58041075</v>
      </c>
      <c r="E557" s="19">
        <v>66129762</v>
      </c>
      <c r="F557" s="23">
        <v>111002532</v>
      </c>
    </row>
    <row r="558" spans="2:7" x14ac:dyDescent="0.25">
      <c r="B558" s="14" t="s">
        <v>135</v>
      </c>
      <c r="C558" s="161" t="s">
        <v>312</v>
      </c>
      <c r="D558" s="23">
        <v>638607</v>
      </c>
      <c r="E558" s="19">
        <v>638607</v>
      </c>
      <c r="F558" s="23">
        <v>0</v>
      </c>
    </row>
    <row r="559" spans="2:7" x14ac:dyDescent="0.25">
      <c r="B559" s="14" t="s">
        <v>201</v>
      </c>
      <c r="C559" s="161" t="s">
        <v>313</v>
      </c>
      <c r="D559" s="23">
        <v>800000</v>
      </c>
      <c r="E559" s="19">
        <v>560176</v>
      </c>
      <c r="F559" s="23">
        <v>1611760</v>
      </c>
    </row>
    <row r="560" spans="2:7" x14ac:dyDescent="0.25">
      <c r="B560" s="14" t="s">
        <v>280</v>
      </c>
      <c r="C560" s="14" t="s">
        <v>496</v>
      </c>
      <c r="D560" s="19">
        <v>0</v>
      </c>
      <c r="E560" s="19">
        <v>0</v>
      </c>
      <c r="F560" s="19">
        <v>2000000</v>
      </c>
    </row>
    <row r="561" spans="2:7" x14ac:dyDescent="0.25">
      <c r="B561" s="14" t="s">
        <v>203</v>
      </c>
      <c r="C561" s="161" t="s">
        <v>314</v>
      </c>
      <c r="D561" s="19">
        <v>200000</v>
      </c>
      <c r="E561" s="19">
        <v>288158</v>
      </c>
      <c r="F561" s="19">
        <v>300000</v>
      </c>
    </row>
    <row r="562" spans="2:7" x14ac:dyDescent="0.25">
      <c r="B562" s="14" t="s">
        <v>315</v>
      </c>
      <c r="C562" s="161" t="s">
        <v>316</v>
      </c>
      <c r="D562" s="19">
        <v>456000</v>
      </c>
      <c r="E562" s="19">
        <v>623250</v>
      </c>
      <c r="F562" s="193">
        <v>1501632</v>
      </c>
    </row>
    <row r="563" spans="2:7" x14ac:dyDescent="0.25">
      <c r="B563" s="14" t="s">
        <v>179</v>
      </c>
      <c r="C563" s="161" t="s">
        <v>281</v>
      </c>
      <c r="D563" s="19">
        <v>672540</v>
      </c>
      <c r="E563" s="19">
        <v>567990</v>
      </c>
      <c r="F563" s="193">
        <v>816540</v>
      </c>
    </row>
    <row r="564" spans="2:7" x14ac:dyDescent="0.25">
      <c r="B564" s="14" t="s">
        <v>88</v>
      </c>
      <c r="C564" s="161" t="s">
        <v>317</v>
      </c>
      <c r="D564" s="19">
        <v>800000</v>
      </c>
      <c r="E564" s="19">
        <v>2533596</v>
      </c>
      <c r="F564" s="193">
        <v>2400000</v>
      </c>
    </row>
    <row r="565" spans="2:7" x14ac:dyDescent="0.25">
      <c r="B565" s="14" t="s">
        <v>89</v>
      </c>
      <c r="C565" s="161" t="s">
        <v>318</v>
      </c>
      <c r="D565" s="19">
        <v>300000</v>
      </c>
      <c r="E565" s="19">
        <v>275495</v>
      </c>
      <c r="F565" s="19">
        <v>700000</v>
      </c>
      <c r="G565" s="268"/>
    </row>
    <row r="566" spans="2:7" x14ac:dyDescent="0.25">
      <c r="B566" s="61" t="s">
        <v>139</v>
      </c>
      <c r="C566" s="117" t="s">
        <v>181</v>
      </c>
      <c r="D566" s="64">
        <f t="shared" ref="D566" si="91">SUM(D557:D565)</f>
        <v>61908222</v>
      </c>
      <c r="E566" s="135">
        <f>SUM(E557:E565)</f>
        <v>71617034</v>
      </c>
      <c r="F566" s="135">
        <f>SUM(F557:F565)</f>
        <v>120332464</v>
      </c>
      <c r="G566" s="268"/>
    </row>
    <row r="567" spans="2:7" x14ac:dyDescent="0.25">
      <c r="B567" s="136" t="s">
        <v>141</v>
      </c>
      <c r="C567" s="152" t="s">
        <v>243</v>
      </c>
      <c r="D567" s="129">
        <v>8048069</v>
      </c>
      <c r="E567" s="82">
        <v>9502781</v>
      </c>
      <c r="F567" s="82">
        <f>F566*0.13-F568</f>
        <v>15083220.32</v>
      </c>
    </row>
    <row r="568" spans="2:7" x14ac:dyDescent="0.25">
      <c r="B568" s="136" t="s">
        <v>141</v>
      </c>
      <c r="C568" s="61" t="s">
        <v>497</v>
      </c>
      <c r="D568" s="129">
        <v>0</v>
      </c>
      <c r="E568" s="82">
        <v>0</v>
      </c>
      <c r="F568" s="82">
        <v>560000</v>
      </c>
    </row>
    <row r="569" spans="2:7" x14ac:dyDescent="0.25">
      <c r="B569" s="43" t="s">
        <v>182</v>
      </c>
      <c r="C569" s="161" t="s">
        <v>319</v>
      </c>
      <c r="D569" s="24">
        <v>500000</v>
      </c>
      <c r="E569" s="20">
        <v>211435</v>
      </c>
      <c r="F569" s="20">
        <v>650000</v>
      </c>
    </row>
    <row r="570" spans="2:7" x14ac:dyDescent="0.25">
      <c r="B570" s="43" t="s">
        <v>143</v>
      </c>
      <c r="C570" s="161" t="s">
        <v>296</v>
      </c>
      <c r="D570" s="24">
        <v>2000000</v>
      </c>
      <c r="E570" s="20">
        <v>2501344</v>
      </c>
      <c r="F570" s="20">
        <v>2635000</v>
      </c>
    </row>
    <row r="571" spans="2:7" x14ac:dyDescent="0.25">
      <c r="B571" s="43" t="s">
        <v>183</v>
      </c>
      <c r="C571" s="161" t="s">
        <v>283</v>
      </c>
      <c r="D571" s="24">
        <v>30000</v>
      </c>
      <c r="E571" s="20">
        <v>29000</v>
      </c>
      <c r="F571" s="24">
        <v>30000</v>
      </c>
    </row>
    <row r="572" spans="2:7" x14ac:dyDescent="0.25">
      <c r="B572" s="14" t="s">
        <v>175</v>
      </c>
      <c r="C572" s="14" t="s">
        <v>184</v>
      </c>
      <c r="D572" s="24">
        <v>3000000</v>
      </c>
      <c r="E572" s="20">
        <v>1764790</v>
      </c>
      <c r="F572" s="24">
        <v>1800000</v>
      </c>
    </row>
    <row r="573" spans="2:7" x14ac:dyDescent="0.25">
      <c r="B573" s="14" t="s">
        <v>187</v>
      </c>
      <c r="C573" s="38" t="s">
        <v>188</v>
      </c>
      <c r="D573" s="24">
        <v>400000</v>
      </c>
      <c r="E573" s="20">
        <v>317321</v>
      </c>
      <c r="F573" s="24">
        <v>350000</v>
      </c>
    </row>
    <row r="574" spans="2:7" x14ac:dyDescent="0.25">
      <c r="B574" s="43" t="s">
        <v>146</v>
      </c>
      <c r="C574" s="161" t="s">
        <v>320</v>
      </c>
      <c r="D574" s="24">
        <v>0</v>
      </c>
      <c r="E574" s="20">
        <v>4439</v>
      </c>
      <c r="F574" s="24">
        <v>10000</v>
      </c>
    </row>
    <row r="575" spans="2:7" x14ac:dyDescent="0.25">
      <c r="B575" s="43" t="s">
        <v>147</v>
      </c>
      <c r="C575" s="38" t="s">
        <v>148</v>
      </c>
      <c r="D575" s="23">
        <f>1350300+500000</f>
        <v>1850300</v>
      </c>
      <c r="E575" s="19">
        <v>1514300</v>
      </c>
      <c r="F575" s="23">
        <v>300000</v>
      </c>
    </row>
    <row r="576" spans="2:7" x14ac:dyDescent="0.25">
      <c r="B576" s="43" t="s">
        <v>95</v>
      </c>
      <c r="C576" s="38" t="s">
        <v>158</v>
      </c>
      <c r="D576" s="93">
        <v>1500000</v>
      </c>
      <c r="E576" s="79">
        <v>1282837</v>
      </c>
      <c r="F576" s="93">
        <v>1600000</v>
      </c>
    </row>
    <row r="577" spans="2:6" x14ac:dyDescent="0.25">
      <c r="B577" s="43" t="s">
        <v>190</v>
      </c>
      <c r="C577" s="38" t="s">
        <v>321</v>
      </c>
      <c r="D577" s="24">
        <v>350000</v>
      </c>
      <c r="E577" s="20">
        <v>66120</v>
      </c>
      <c r="F577" s="24">
        <v>100000</v>
      </c>
    </row>
    <row r="578" spans="2:6" x14ac:dyDescent="0.25">
      <c r="B578" s="43" t="s">
        <v>96</v>
      </c>
      <c r="C578" s="38" t="s">
        <v>322</v>
      </c>
      <c r="D578" s="24">
        <v>2505600</v>
      </c>
      <c r="E578" s="20">
        <v>1350609</v>
      </c>
      <c r="F578" s="20">
        <v>2170800</v>
      </c>
    </row>
    <row r="579" spans="2:6" x14ac:dyDescent="0.25">
      <c r="B579" s="43" t="s">
        <v>102</v>
      </c>
      <c r="C579" s="38" t="s">
        <v>103</v>
      </c>
      <c r="D579" s="24">
        <f>1264135+35865</f>
        <v>1300000</v>
      </c>
      <c r="E579" s="20">
        <v>1297823</v>
      </c>
      <c r="F579" s="24">
        <v>1300000</v>
      </c>
    </row>
    <row r="580" spans="2:6" x14ac:dyDescent="0.25">
      <c r="B580" s="136" t="s">
        <v>98</v>
      </c>
      <c r="C580" s="117" t="s">
        <v>194</v>
      </c>
      <c r="D580" s="64">
        <f t="shared" ref="D580" si="92">SUM(D569:D579)</f>
        <v>13435900</v>
      </c>
      <c r="E580" s="64">
        <f>SUM(E569:E579)</f>
        <v>10340018</v>
      </c>
      <c r="F580" s="64">
        <f>SUM(F569:F579)</f>
        <v>10945800</v>
      </c>
    </row>
    <row r="581" spans="2:6" x14ac:dyDescent="0.25">
      <c r="B581" s="43" t="s">
        <v>323</v>
      </c>
      <c r="C581" s="38" t="s">
        <v>324</v>
      </c>
      <c r="D581" s="137">
        <f>280000+70000</f>
        <v>350000</v>
      </c>
      <c r="E581" s="137">
        <v>195720</v>
      </c>
      <c r="F581" s="137">
        <v>500000</v>
      </c>
    </row>
    <row r="582" spans="2:6" x14ac:dyDescent="0.25">
      <c r="B582" s="43" t="s">
        <v>150</v>
      </c>
      <c r="C582" s="38" t="s">
        <v>246</v>
      </c>
      <c r="D582" s="23">
        <v>300000</v>
      </c>
      <c r="E582" s="19">
        <v>1107338</v>
      </c>
      <c r="F582" s="23">
        <v>750000</v>
      </c>
    </row>
    <row r="583" spans="2:6" x14ac:dyDescent="0.25">
      <c r="B583" s="43" t="s">
        <v>152</v>
      </c>
      <c r="C583" s="38" t="s">
        <v>325</v>
      </c>
      <c r="D583" s="23">
        <v>175500</v>
      </c>
      <c r="E583" s="19">
        <v>351825</v>
      </c>
      <c r="F583" s="23">
        <f>(F581+F582)*0.27</f>
        <v>337500</v>
      </c>
    </row>
    <row r="584" spans="2:6" x14ac:dyDescent="0.25">
      <c r="B584" s="136" t="s">
        <v>154</v>
      </c>
      <c r="C584" s="117" t="s">
        <v>326</v>
      </c>
      <c r="D584" s="96">
        <f>SUM(D581:D583)</f>
        <v>825500</v>
      </c>
      <c r="E584" s="96">
        <f t="shared" ref="E584" si="93">SUM(E581:E583)</f>
        <v>1654883</v>
      </c>
      <c r="F584" s="96">
        <f t="shared" ref="F584" si="94">SUM(F581:F583)</f>
        <v>1587500</v>
      </c>
    </row>
    <row r="585" spans="2:6" x14ac:dyDescent="0.25">
      <c r="B585" s="42" t="s">
        <v>100</v>
      </c>
      <c r="C585" s="46"/>
      <c r="D585" s="67">
        <f t="shared" ref="D585" si="95">D566+D567+D580+D584</f>
        <v>84217691</v>
      </c>
      <c r="E585" s="28">
        <f>E566+E567+E580+E584</f>
        <v>93114716</v>
      </c>
      <c r="F585" s="28">
        <f>F566+F567+F580+F584+F568</f>
        <v>148508984.31999999</v>
      </c>
    </row>
    <row r="586" spans="2:6" x14ac:dyDescent="0.25">
      <c r="B586" s="29"/>
      <c r="C586" s="275"/>
      <c r="D586" s="20"/>
      <c r="E586" s="20"/>
      <c r="F586" s="24"/>
    </row>
    <row r="587" spans="2:6" x14ac:dyDescent="0.25">
      <c r="B587" s="42" t="s">
        <v>327</v>
      </c>
      <c r="C587" s="46"/>
      <c r="D587" s="28">
        <f>D585</f>
        <v>84217691</v>
      </c>
      <c r="E587" s="28">
        <f>E585</f>
        <v>93114716</v>
      </c>
      <c r="F587" s="28">
        <f>F585</f>
        <v>148508984.31999999</v>
      </c>
    </row>
  </sheetData>
  <mergeCells count="4">
    <mergeCell ref="B121:B134"/>
    <mergeCell ref="G445:G446"/>
    <mergeCell ref="C404:D404"/>
    <mergeCell ref="D52:D53"/>
  </mergeCells>
  <phoneticPr fontId="19" type="noConversion"/>
  <pageMargins left="0.11811023622047245" right="0.11811023622047245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1. melléklet</vt:lpstr>
      <vt:lpstr>2. melléklet</vt:lpstr>
      <vt:lpstr>'1. melléklet'!Nyomtatási_terület</vt:lpstr>
      <vt:lpstr>'2.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Pénzügy Ujhartyáni</dc:creator>
  <cp:lastModifiedBy>Jegyzo</cp:lastModifiedBy>
  <cp:lastPrinted>2026-02-12T09:01:08Z</cp:lastPrinted>
  <dcterms:created xsi:type="dcterms:W3CDTF">2025-09-12T07:55:50Z</dcterms:created>
  <dcterms:modified xsi:type="dcterms:W3CDTF">2026-02-12T09:30:06Z</dcterms:modified>
</cp:coreProperties>
</file>